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Kristin\OneDrive - Jefferson County Library District\Documents\Budget &amp; Finances\Budget\2026-2027 Budget Packet and Materials\"/>
    </mc:Choice>
  </mc:AlternateContent>
  <xr:revisionPtr revIDLastSave="0" documentId="8_{A2EA134D-71A7-4AF4-ADA7-8EAC5427FA7F}" xr6:coauthVersionLast="36" xr6:coauthVersionMax="36" xr10:uidLastSave="{00000000-0000-0000-0000-000000000000}"/>
  <bookViews>
    <workbookView xWindow="0" yWindow="0" windowWidth="17175" windowHeight="11160" xr2:uid="{00000000-000D-0000-FFFF-FFFF00000000}"/>
  </bookViews>
  <sheets>
    <sheet name="Sheet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S376" i="1" l="1"/>
  <c r="Q376" i="1"/>
  <c r="G376" i="1"/>
  <c r="S370" i="1"/>
  <c r="Q370" i="1"/>
  <c r="G370" i="1"/>
  <c r="S368" i="1"/>
  <c r="Q368" i="1"/>
  <c r="G368" i="1"/>
  <c r="S366" i="1"/>
  <c r="Q366" i="1"/>
  <c r="G366" i="1"/>
  <c r="T364" i="1"/>
  <c r="R364" i="1"/>
  <c r="P364" i="1"/>
  <c r="P372" i="1" s="1"/>
  <c r="O364" i="1"/>
  <c r="O372" i="1" s="1"/>
  <c r="N364" i="1"/>
  <c r="N372" i="1" s="1"/>
  <c r="M364" i="1"/>
  <c r="M372" i="1" s="1"/>
  <c r="K364" i="1"/>
  <c r="K372" i="1" s="1"/>
  <c r="J364" i="1"/>
  <c r="H364" i="1"/>
  <c r="F364" i="1"/>
  <c r="E364" i="1"/>
  <c r="D364" i="1"/>
  <c r="C364" i="1"/>
  <c r="B364" i="1"/>
  <c r="S363" i="1"/>
  <c r="Q363" i="1"/>
  <c r="G363" i="1"/>
  <c r="S362" i="1"/>
  <c r="Q362" i="1"/>
  <c r="G362" i="1"/>
  <c r="S361" i="1"/>
  <c r="Q361" i="1"/>
  <c r="L361" i="1"/>
  <c r="L364" i="1" s="1"/>
  <c r="L372" i="1" s="1"/>
  <c r="G361" i="1"/>
  <c r="S360" i="1"/>
  <c r="Q360" i="1"/>
  <c r="G360" i="1"/>
  <c r="S359" i="1"/>
  <c r="Q359" i="1"/>
  <c r="G359" i="1"/>
  <c r="G364" i="1" s="1"/>
  <c r="S358" i="1"/>
  <c r="Q358" i="1"/>
  <c r="S355" i="1"/>
  <c r="Q355" i="1"/>
  <c r="S354" i="1"/>
  <c r="S364" i="1" s="1"/>
  <c r="Q354" i="1"/>
  <c r="Q364" i="1" s="1"/>
  <c r="T351" i="1"/>
  <c r="T372" i="1" s="1"/>
  <c r="R351" i="1"/>
  <c r="G347" i="1"/>
  <c r="T343" i="1"/>
  <c r="T374" i="1" s="1"/>
  <c r="R343" i="1"/>
  <c r="P343" i="1"/>
  <c r="O343" i="1"/>
  <c r="O374" i="1" s="1"/>
  <c r="O378" i="1" s="1"/>
  <c r="N343" i="1"/>
  <c r="N374" i="1" s="1"/>
  <c r="N378" i="1" s="1"/>
  <c r="M343" i="1"/>
  <c r="M374" i="1" s="1"/>
  <c r="M378" i="1" s="1"/>
  <c r="L343" i="1"/>
  <c r="L374" i="1" s="1"/>
  <c r="L378" i="1" s="1"/>
  <c r="K343" i="1"/>
  <c r="K374" i="1" s="1"/>
  <c r="K378" i="1" s="1"/>
  <c r="J343" i="1"/>
  <c r="J374" i="1" s="1"/>
  <c r="J378" i="1" s="1"/>
  <c r="H343" i="1"/>
  <c r="H374" i="1" s="1"/>
  <c r="F343" i="1"/>
  <c r="F374" i="1" s="1"/>
  <c r="F378" i="1" s="1"/>
  <c r="E343" i="1"/>
  <c r="E374" i="1" s="1"/>
  <c r="E378" i="1" s="1"/>
  <c r="D343" i="1"/>
  <c r="D374" i="1" s="1"/>
  <c r="D378" i="1" s="1"/>
  <c r="C343" i="1"/>
  <c r="C374" i="1" s="1"/>
  <c r="C378" i="1" s="1"/>
  <c r="B343" i="1"/>
  <c r="B374" i="1" s="1"/>
  <c r="B378" i="1" s="1"/>
  <c r="S342" i="1"/>
  <c r="Q342" i="1"/>
  <c r="G342" i="1"/>
  <c r="S340" i="1"/>
  <c r="Q340" i="1"/>
  <c r="S339" i="1"/>
  <c r="Q339" i="1"/>
  <c r="S338" i="1"/>
  <c r="Q338" i="1"/>
  <c r="S337" i="1"/>
  <c r="Q337" i="1"/>
  <c r="G337" i="1"/>
  <c r="G343" i="1" s="1"/>
  <c r="R326" i="1"/>
  <c r="S326" i="1" s="1"/>
  <c r="Q326" i="1"/>
  <c r="N326" i="1"/>
  <c r="M326" i="1"/>
  <c r="L326" i="1"/>
  <c r="K326" i="1"/>
  <c r="J326" i="1"/>
  <c r="H326" i="1"/>
  <c r="E326" i="1"/>
  <c r="S325" i="1"/>
  <c r="Q325" i="1"/>
  <c r="S324" i="1"/>
  <c r="Q324" i="1"/>
  <c r="N324" i="1"/>
  <c r="M324" i="1"/>
  <c r="L324" i="1"/>
  <c r="K324" i="1"/>
  <c r="J324" i="1"/>
  <c r="H324" i="1"/>
  <c r="E324" i="1"/>
  <c r="T323" i="1"/>
  <c r="R323" i="1"/>
  <c r="S323" i="1" s="1"/>
  <c r="P323" i="1"/>
  <c r="Q323" i="1" s="1"/>
  <c r="N323" i="1"/>
  <c r="M323" i="1"/>
  <c r="L323" i="1"/>
  <c r="K323" i="1"/>
  <c r="J323" i="1"/>
  <c r="H323" i="1"/>
  <c r="E323" i="1"/>
  <c r="T322" i="1"/>
  <c r="R322" i="1"/>
  <c r="S322" i="1" s="1"/>
  <c r="P322" i="1"/>
  <c r="Q322" i="1" s="1"/>
  <c r="N322" i="1"/>
  <c r="M322" i="1"/>
  <c r="L322" i="1"/>
  <c r="K322" i="1"/>
  <c r="J322" i="1"/>
  <c r="H322" i="1"/>
  <c r="E322" i="1"/>
  <c r="T320" i="1"/>
  <c r="R320" i="1"/>
  <c r="S320" i="1" s="1"/>
  <c r="P320" i="1"/>
  <c r="N320" i="1"/>
  <c r="M320" i="1"/>
  <c r="L320" i="1"/>
  <c r="J320" i="1"/>
  <c r="H320" i="1"/>
  <c r="S319" i="1"/>
  <c r="Q319" i="1"/>
  <c r="H318" i="1"/>
  <c r="T315" i="1"/>
  <c r="R315" i="1"/>
  <c r="P315" i="1"/>
  <c r="Q315" i="1" s="1"/>
  <c r="O315" i="1"/>
  <c r="N315" i="1"/>
  <c r="M315" i="1"/>
  <c r="L315" i="1"/>
  <c r="K315" i="1"/>
  <c r="J315" i="1"/>
  <c r="H315" i="1"/>
  <c r="F315" i="1"/>
  <c r="G315" i="1" s="1"/>
  <c r="E315" i="1"/>
  <c r="T314" i="1"/>
  <c r="R314" i="1"/>
  <c r="S314" i="1" s="1"/>
  <c r="P314" i="1"/>
  <c r="Q314" i="1" s="1"/>
  <c r="O314" i="1"/>
  <c r="N314" i="1"/>
  <c r="M314" i="1"/>
  <c r="L314" i="1"/>
  <c r="K314" i="1"/>
  <c r="J314" i="1"/>
  <c r="H314" i="1"/>
  <c r="H316" i="1" s="1"/>
  <c r="F314" i="1"/>
  <c r="G314" i="1" s="1"/>
  <c r="E314" i="1"/>
  <c r="C314" i="1"/>
  <c r="B314" i="1"/>
  <c r="S308" i="1"/>
  <c r="Q308" i="1"/>
  <c r="G308" i="1"/>
  <c r="S306" i="1"/>
  <c r="Q306" i="1"/>
  <c r="G306" i="1"/>
  <c r="T304" i="1"/>
  <c r="R304" i="1"/>
  <c r="P304" i="1"/>
  <c r="N304" i="1"/>
  <c r="M304" i="1"/>
  <c r="L304" i="1"/>
  <c r="K304" i="1"/>
  <c r="J304" i="1"/>
  <c r="H304" i="1"/>
  <c r="G304" i="1"/>
  <c r="E304" i="1"/>
  <c r="D304" i="1"/>
  <c r="C304" i="1"/>
  <c r="B304" i="1"/>
  <c r="S303" i="1"/>
  <c r="Q303" i="1"/>
  <c r="G303" i="1"/>
  <c r="S302" i="1"/>
  <c r="Q302" i="1"/>
  <c r="G302" i="1"/>
  <c r="T299" i="1"/>
  <c r="R299" i="1"/>
  <c r="S299" i="1" s="1"/>
  <c r="P299" i="1"/>
  <c r="Q299" i="1" s="1"/>
  <c r="O299" i="1"/>
  <c r="N299" i="1"/>
  <c r="M299" i="1"/>
  <c r="L299" i="1"/>
  <c r="K299" i="1"/>
  <c r="J299" i="1"/>
  <c r="H299" i="1"/>
  <c r="F299" i="1"/>
  <c r="G299" i="1" s="1"/>
  <c r="E299" i="1"/>
  <c r="D299" i="1"/>
  <c r="C299" i="1"/>
  <c r="B299" i="1"/>
  <c r="S298" i="1"/>
  <c r="Q298" i="1"/>
  <c r="S297" i="1"/>
  <c r="Q297" i="1"/>
  <c r="S296" i="1"/>
  <c r="Q296" i="1"/>
  <c r="S295" i="1"/>
  <c r="Q295" i="1"/>
  <c r="G295" i="1"/>
  <c r="S294" i="1"/>
  <c r="Q294" i="1"/>
  <c r="G294" i="1"/>
  <c r="S293" i="1"/>
  <c r="Q293" i="1"/>
  <c r="G293" i="1"/>
  <c r="S292" i="1"/>
  <c r="Q292" i="1"/>
  <c r="G292" i="1"/>
  <c r="S291" i="1"/>
  <c r="Q291" i="1"/>
  <c r="G291" i="1"/>
  <c r="T286" i="1"/>
  <c r="R286" i="1"/>
  <c r="S286" i="1" s="1"/>
  <c r="P286" i="1"/>
  <c r="Q286" i="1" s="1"/>
  <c r="O286" i="1"/>
  <c r="N286" i="1"/>
  <c r="M286" i="1"/>
  <c r="L286" i="1"/>
  <c r="K286" i="1"/>
  <c r="J286" i="1"/>
  <c r="I286" i="1"/>
  <c r="H286" i="1"/>
  <c r="S285" i="1"/>
  <c r="Q285" i="1"/>
  <c r="S284" i="1"/>
  <c r="Q284" i="1"/>
  <c r="S283" i="1"/>
  <c r="Q283" i="1"/>
  <c r="S282" i="1"/>
  <c r="Q282" i="1"/>
  <c r="S281" i="1"/>
  <c r="Q281" i="1"/>
  <c r="S280" i="1"/>
  <c r="Q280" i="1"/>
  <c r="S279" i="1"/>
  <c r="Q279" i="1"/>
  <c r="S276" i="1"/>
  <c r="Q276" i="1"/>
  <c r="S275" i="1"/>
  <c r="Q275" i="1"/>
  <c r="S274" i="1"/>
  <c r="Q274" i="1"/>
  <c r="S273" i="1"/>
  <c r="Q273" i="1"/>
  <c r="S272" i="1"/>
  <c r="Q272" i="1"/>
  <c r="S268" i="1"/>
  <c r="Q268" i="1"/>
  <c r="S267" i="1"/>
  <c r="Q267" i="1"/>
  <c r="S266" i="1"/>
  <c r="Q266" i="1"/>
  <c r="S264" i="1"/>
  <c r="Q264" i="1"/>
  <c r="S263" i="1"/>
  <c r="Q263" i="1"/>
  <c r="S262" i="1"/>
  <c r="Q262" i="1"/>
  <c r="G262" i="1"/>
  <c r="S261" i="1"/>
  <c r="Q261" i="1"/>
  <c r="S260" i="1"/>
  <c r="Q260" i="1"/>
  <c r="G260" i="1"/>
  <c r="S259" i="1"/>
  <c r="Q259" i="1"/>
  <c r="T258" i="1"/>
  <c r="R258" i="1"/>
  <c r="S258" i="1" s="1"/>
  <c r="Q258" i="1"/>
  <c r="N258" i="1"/>
  <c r="M258" i="1"/>
  <c r="J258" i="1"/>
  <c r="H258" i="1"/>
  <c r="F258" i="1"/>
  <c r="F286" i="1" s="1"/>
  <c r="G286" i="1" s="1"/>
  <c r="E258" i="1"/>
  <c r="E286" i="1" s="1"/>
  <c r="D258" i="1"/>
  <c r="D286" i="1" s="1"/>
  <c r="C258" i="1"/>
  <c r="C286" i="1" s="1"/>
  <c r="B258" i="1"/>
  <c r="B286" i="1" s="1"/>
  <c r="S257" i="1"/>
  <c r="Q257" i="1"/>
  <c r="G257" i="1"/>
  <c r="S256" i="1"/>
  <c r="Q256" i="1"/>
  <c r="G256" i="1"/>
  <c r="S255" i="1"/>
  <c r="Q255" i="1"/>
  <c r="G255" i="1"/>
  <c r="G258" i="1" s="1"/>
  <c r="T252" i="1"/>
  <c r="R252" i="1"/>
  <c r="S252" i="1" s="1"/>
  <c r="P252" i="1"/>
  <c r="Q252" i="1" s="1"/>
  <c r="O252" i="1"/>
  <c r="N252" i="1"/>
  <c r="M252" i="1"/>
  <c r="L252" i="1"/>
  <c r="K252" i="1"/>
  <c r="J252" i="1"/>
  <c r="I252" i="1"/>
  <c r="H252" i="1"/>
  <c r="F252" i="1"/>
  <c r="E252" i="1"/>
  <c r="D252" i="1"/>
  <c r="C252" i="1"/>
  <c r="B252" i="1"/>
  <c r="S251" i="1"/>
  <c r="Q251" i="1"/>
  <c r="S250" i="1"/>
  <c r="Q250" i="1"/>
  <c r="G250" i="1"/>
  <c r="S249" i="1"/>
  <c r="Q249" i="1"/>
  <c r="G249" i="1"/>
  <c r="S248" i="1"/>
  <c r="Q248" i="1"/>
  <c r="G248" i="1"/>
  <c r="S247" i="1"/>
  <c r="Q247" i="1"/>
  <c r="G247" i="1"/>
  <c r="S246" i="1"/>
  <c r="Q246" i="1"/>
  <c r="G246" i="1"/>
  <c r="S245" i="1"/>
  <c r="Q245" i="1"/>
  <c r="G245" i="1"/>
  <c r="S244" i="1"/>
  <c r="Q244" i="1"/>
  <c r="G244" i="1"/>
  <c r="S243" i="1"/>
  <c r="Q243" i="1"/>
  <c r="G243" i="1"/>
  <c r="S242" i="1"/>
  <c r="Q242" i="1"/>
  <c r="G242" i="1"/>
  <c r="S241" i="1"/>
  <c r="Q241" i="1"/>
  <c r="G241" i="1"/>
  <c r="S240" i="1"/>
  <c r="Q240" i="1"/>
  <c r="G240" i="1"/>
  <c r="S239" i="1"/>
  <c r="Q239" i="1"/>
  <c r="G239" i="1"/>
  <c r="G252" i="1" s="1"/>
  <c r="T236" i="1"/>
  <c r="R236" i="1"/>
  <c r="S236" i="1" s="1"/>
  <c r="P236" i="1"/>
  <c r="Q236" i="1" s="1"/>
  <c r="O236" i="1"/>
  <c r="N236" i="1"/>
  <c r="M236" i="1"/>
  <c r="L236" i="1"/>
  <c r="K236" i="1"/>
  <c r="J236" i="1"/>
  <c r="I236" i="1"/>
  <c r="H236" i="1"/>
  <c r="F236" i="1"/>
  <c r="G236" i="1" s="1"/>
  <c r="E236" i="1"/>
  <c r="D236" i="1"/>
  <c r="C236" i="1"/>
  <c r="B236" i="1"/>
  <c r="S235" i="1"/>
  <c r="Q235" i="1"/>
  <c r="G235" i="1"/>
  <c r="S234" i="1"/>
  <c r="Q234" i="1"/>
  <c r="G234" i="1"/>
  <c r="S233" i="1"/>
  <c r="Q233" i="1"/>
  <c r="G233" i="1"/>
  <c r="G232" i="1"/>
  <c r="S231" i="1"/>
  <c r="Q231" i="1"/>
  <c r="S230" i="1"/>
  <c r="Q230" i="1"/>
  <c r="G230" i="1"/>
  <c r="S229" i="1"/>
  <c r="Q229" i="1"/>
  <c r="G229" i="1"/>
  <c r="S228" i="1"/>
  <c r="Q228" i="1"/>
  <c r="G228" i="1"/>
  <c r="S227" i="1"/>
  <c r="Q227" i="1"/>
  <c r="G227" i="1"/>
  <c r="S226" i="1"/>
  <c r="Q226" i="1"/>
  <c r="G226" i="1"/>
  <c r="S225" i="1"/>
  <c r="Q225" i="1"/>
  <c r="G225" i="1"/>
  <c r="S224" i="1"/>
  <c r="Q224" i="1"/>
  <c r="G224" i="1"/>
  <c r="S223" i="1"/>
  <c r="Q223" i="1"/>
  <c r="G223" i="1"/>
  <c r="S222" i="1"/>
  <c r="Q222" i="1"/>
  <c r="G222" i="1"/>
  <c r="S221" i="1"/>
  <c r="Q221" i="1"/>
  <c r="G221" i="1"/>
  <c r="S220" i="1"/>
  <c r="Q220" i="1"/>
  <c r="G220" i="1"/>
  <c r="S219" i="1"/>
  <c r="Q219" i="1"/>
  <c r="G219" i="1"/>
  <c r="S218" i="1"/>
  <c r="Q218" i="1"/>
  <c r="G218" i="1"/>
  <c r="S217" i="1"/>
  <c r="Q217" i="1"/>
  <c r="G217" i="1"/>
  <c r="S216" i="1"/>
  <c r="Q216" i="1"/>
  <c r="G216" i="1"/>
  <c r="S215" i="1"/>
  <c r="Q215" i="1"/>
  <c r="G215" i="1"/>
  <c r="G214" i="1"/>
  <c r="S213" i="1"/>
  <c r="Q213" i="1"/>
  <c r="G213" i="1"/>
  <c r="S212" i="1"/>
  <c r="Q212" i="1"/>
  <c r="G212" i="1"/>
  <c r="S211" i="1"/>
  <c r="Q211" i="1"/>
  <c r="G211" i="1"/>
  <c r="S210" i="1"/>
  <c r="Q210" i="1"/>
  <c r="G210" i="1"/>
  <c r="S209" i="1"/>
  <c r="Q209" i="1"/>
  <c r="G209" i="1"/>
  <c r="G208" i="1"/>
  <c r="T205" i="1"/>
  <c r="R205" i="1"/>
  <c r="S205" i="1" s="1"/>
  <c r="P205" i="1"/>
  <c r="Q205" i="1" s="1"/>
  <c r="O205" i="1"/>
  <c r="N205" i="1"/>
  <c r="M205" i="1"/>
  <c r="L205" i="1"/>
  <c r="K205" i="1"/>
  <c r="S204" i="1"/>
  <c r="Q204" i="1"/>
  <c r="J204" i="1"/>
  <c r="G204" i="1"/>
  <c r="S203" i="1"/>
  <c r="Q203" i="1"/>
  <c r="G203" i="1"/>
  <c r="S202" i="1"/>
  <c r="Q202" i="1"/>
  <c r="G202" i="1"/>
  <c r="T199" i="1"/>
  <c r="R199" i="1"/>
  <c r="S199" i="1" s="1"/>
  <c r="P199" i="1"/>
  <c r="Q199" i="1" s="1"/>
  <c r="O199" i="1"/>
  <c r="N199" i="1"/>
  <c r="M199" i="1"/>
  <c r="L199" i="1"/>
  <c r="K199" i="1"/>
  <c r="I199" i="1"/>
  <c r="H199" i="1"/>
  <c r="F199" i="1"/>
  <c r="E199" i="1"/>
  <c r="D199" i="1"/>
  <c r="C199" i="1"/>
  <c r="B199" i="1"/>
  <c r="S198" i="1"/>
  <c r="Q198" i="1"/>
  <c r="S197" i="1"/>
  <c r="Q197" i="1"/>
  <c r="G197" i="1"/>
  <c r="S196" i="1"/>
  <c r="Q196" i="1"/>
  <c r="J196" i="1"/>
  <c r="G196" i="1"/>
  <c r="S195" i="1"/>
  <c r="Q195" i="1"/>
  <c r="J195" i="1"/>
  <c r="J199" i="1" s="1"/>
  <c r="G195" i="1"/>
  <c r="S194" i="1"/>
  <c r="Q194" i="1"/>
  <c r="G194" i="1"/>
  <c r="G199" i="1" s="1"/>
  <c r="T191" i="1"/>
  <c r="R191" i="1"/>
  <c r="S191" i="1" s="1"/>
  <c r="P191" i="1"/>
  <c r="Q191" i="1" s="1"/>
  <c r="O191" i="1"/>
  <c r="N191" i="1"/>
  <c r="M191" i="1"/>
  <c r="L191" i="1"/>
  <c r="K191" i="1"/>
  <c r="I191" i="1"/>
  <c r="H191" i="1"/>
  <c r="F191" i="1"/>
  <c r="E191" i="1"/>
  <c r="D191" i="1"/>
  <c r="C191" i="1"/>
  <c r="B191" i="1"/>
  <c r="S190" i="1"/>
  <c r="Q190" i="1"/>
  <c r="S188" i="1"/>
  <c r="Q188" i="1"/>
  <c r="G188" i="1"/>
  <c r="S186" i="1"/>
  <c r="Q186" i="1"/>
  <c r="J186" i="1"/>
  <c r="G186" i="1"/>
  <c r="S185" i="1"/>
  <c r="Q185" i="1"/>
  <c r="J185" i="1"/>
  <c r="J191" i="1" s="1"/>
  <c r="S184" i="1"/>
  <c r="Q184" i="1"/>
  <c r="G184" i="1"/>
  <c r="G191" i="1" s="1"/>
  <c r="T181" i="1"/>
  <c r="R181" i="1"/>
  <c r="S181" i="1" s="1"/>
  <c r="P181" i="1"/>
  <c r="Q181" i="1" s="1"/>
  <c r="O181" i="1"/>
  <c r="N181" i="1"/>
  <c r="M181" i="1"/>
  <c r="L181" i="1"/>
  <c r="K181" i="1"/>
  <c r="I181" i="1"/>
  <c r="H181" i="1"/>
  <c r="F181" i="1"/>
  <c r="E181" i="1"/>
  <c r="D181" i="1"/>
  <c r="C181" i="1"/>
  <c r="B181" i="1"/>
  <c r="S180" i="1"/>
  <c r="Q180" i="1"/>
  <c r="S179" i="1"/>
  <c r="Q179" i="1"/>
  <c r="S178" i="1"/>
  <c r="Q178" i="1"/>
  <c r="J178" i="1"/>
  <c r="G178" i="1"/>
  <c r="S177" i="1"/>
  <c r="Q177" i="1"/>
  <c r="G177" i="1"/>
  <c r="S176" i="1"/>
  <c r="Q176" i="1"/>
  <c r="J176" i="1"/>
  <c r="J181" i="1" s="1"/>
  <c r="S175" i="1"/>
  <c r="Q175" i="1"/>
  <c r="G175" i="1"/>
  <c r="G181" i="1" s="1"/>
  <c r="T172" i="1"/>
  <c r="R172" i="1"/>
  <c r="S172" i="1" s="1"/>
  <c r="P172" i="1"/>
  <c r="Q172" i="1" s="1"/>
  <c r="O172" i="1"/>
  <c r="M172" i="1"/>
  <c r="L172" i="1"/>
  <c r="K172" i="1"/>
  <c r="J172" i="1"/>
  <c r="I172" i="1"/>
  <c r="H172" i="1"/>
  <c r="F172" i="1"/>
  <c r="G172" i="1" s="1"/>
  <c r="E172" i="1"/>
  <c r="D172" i="1"/>
  <c r="C172" i="1"/>
  <c r="B172" i="1"/>
  <c r="S171" i="1"/>
  <c r="Q171" i="1"/>
  <c r="G171" i="1"/>
  <c r="S170" i="1"/>
  <c r="Q170" i="1"/>
  <c r="G170" i="1"/>
  <c r="S169" i="1"/>
  <c r="Q169" i="1"/>
  <c r="G169" i="1"/>
  <c r="S168" i="1"/>
  <c r="Q168" i="1"/>
  <c r="G168" i="1"/>
  <c r="S167" i="1"/>
  <c r="Q167" i="1"/>
  <c r="G167" i="1"/>
  <c r="S166" i="1"/>
  <c r="Q166" i="1"/>
  <c r="G166" i="1"/>
  <c r="S165" i="1"/>
  <c r="Q165" i="1"/>
  <c r="N165" i="1"/>
  <c r="N172" i="1" s="1"/>
  <c r="G165" i="1"/>
  <c r="T162" i="1"/>
  <c r="T321" i="1" s="1"/>
  <c r="R162" i="1"/>
  <c r="P162" i="1"/>
  <c r="O162" i="1"/>
  <c r="O321" i="1" s="1"/>
  <c r="N162" i="1"/>
  <c r="N321" i="1" s="1"/>
  <c r="M162" i="1"/>
  <c r="M321" i="1" s="1"/>
  <c r="L162" i="1"/>
  <c r="K162" i="1"/>
  <c r="K321" i="1" s="1"/>
  <c r="J162" i="1"/>
  <c r="I162" i="1"/>
  <c r="F162" i="1"/>
  <c r="E162" i="1"/>
  <c r="D162" i="1"/>
  <c r="C162" i="1"/>
  <c r="B162" i="1"/>
  <c r="S161" i="1"/>
  <c r="Q161" i="1"/>
  <c r="G161" i="1"/>
  <c r="S160" i="1"/>
  <c r="Q160" i="1"/>
  <c r="G160" i="1"/>
  <c r="S159" i="1"/>
  <c r="Q159" i="1"/>
  <c r="G159" i="1"/>
  <c r="S158" i="1"/>
  <c r="Q158" i="1"/>
  <c r="G158" i="1"/>
  <c r="S157" i="1"/>
  <c r="Q157" i="1"/>
  <c r="G157" i="1"/>
  <c r="S156" i="1"/>
  <c r="Q156" i="1"/>
  <c r="H156" i="1"/>
  <c r="G156" i="1"/>
  <c r="S155" i="1"/>
  <c r="Q155" i="1"/>
  <c r="H155" i="1"/>
  <c r="H162" i="1" s="1"/>
  <c r="G155" i="1"/>
  <c r="S154" i="1"/>
  <c r="Q154" i="1"/>
  <c r="G154" i="1"/>
  <c r="S153" i="1"/>
  <c r="Q153" i="1"/>
  <c r="G153" i="1"/>
  <c r="S152" i="1"/>
  <c r="Q152" i="1"/>
  <c r="G152" i="1"/>
  <c r="S149" i="1"/>
  <c r="Q149" i="1"/>
  <c r="T148" i="1"/>
  <c r="R148" i="1"/>
  <c r="S148" i="1" s="1"/>
  <c r="Q148" i="1"/>
  <c r="N148" i="1"/>
  <c r="M148" i="1"/>
  <c r="J148" i="1"/>
  <c r="H148" i="1"/>
  <c r="F148" i="1"/>
  <c r="E148" i="1"/>
  <c r="D148" i="1"/>
  <c r="C148" i="1"/>
  <c r="B148" i="1"/>
  <c r="S147" i="1"/>
  <c r="Q147" i="1"/>
  <c r="G147" i="1"/>
  <c r="S146" i="1"/>
  <c r="Q146" i="1"/>
  <c r="G146" i="1"/>
  <c r="S145" i="1"/>
  <c r="Q145" i="1"/>
  <c r="G145" i="1"/>
  <c r="S144" i="1"/>
  <c r="Q144" i="1"/>
  <c r="G144" i="1"/>
  <c r="S143" i="1"/>
  <c r="Q143" i="1"/>
  <c r="G143" i="1"/>
  <c r="G148" i="1" s="1"/>
  <c r="S142" i="1"/>
  <c r="Q142" i="1"/>
  <c r="T140" i="1"/>
  <c r="R140" i="1"/>
  <c r="S140" i="1" s="1"/>
  <c r="P140" i="1"/>
  <c r="Q140" i="1" s="1"/>
  <c r="O140" i="1"/>
  <c r="N140" i="1"/>
  <c r="M140" i="1"/>
  <c r="L140" i="1"/>
  <c r="K140" i="1"/>
  <c r="J140" i="1"/>
  <c r="I140" i="1"/>
  <c r="H140" i="1"/>
  <c r="F140" i="1"/>
  <c r="G140" i="1" s="1"/>
  <c r="E140" i="1"/>
  <c r="D140" i="1"/>
  <c r="C140" i="1"/>
  <c r="B140" i="1"/>
  <c r="S139" i="1"/>
  <c r="Q139" i="1"/>
  <c r="G139" i="1"/>
  <c r="S138" i="1"/>
  <c r="Q138" i="1"/>
  <c r="G138" i="1"/>
  <c r="S137" i="1"/>
  <c r="Q137" i="1"/>
  <c r="G137" i="1"/>
  <c r="S136" i="1"/>
  <c r="Q136" i="1"/>
  <c r="G136" i="1"/>
  <c r="T133" i="1"/>
  <c r="R133" i="1"/>
  <c r="S133" i="1" s="1"/>
  <c r="P133" i="1"/>
  <c r="Q133" i="1" s="1"/>
  <c r="O133" i="1"/>
  <c r="N133" i="1"/>
  <c r="M133" i="1"/>
  <c r="L133" i="1"/>
  <c r="K133" i="1"/>
  <c r="J133" i="1"/>
  <c r="I133" i="1"/>
  <c r="H133" i="1"/>
  <c r="F133" i="1"/>
  <c r="G133" i="1" s="1"/>
  <c r="E133" i="1"/>
  <c r="D133" i="1"/>
  <c r="C133" i="1"/>
  <c r="B133" i="1"/>
  <c r="S132" i="1"/>
  <c r="Q132" i="1"/>
  <c r="G132" i="1"/>
  <c r="S131" i="1"/>
  <c r="Q131" i="1"/>
  <c r="G131" i="1"/>
  <c r="S130" i="1"/>
  <c r="Q130" i="1"/>
  <c r="G130" i="1"/>
  <c r="S129" i="1"/>
  <c r="Q129" i="1"/>
  <c r="G129" i="1"/>
  <c r="S128" i="1"/>
  <c r="Q128" i="1"/>
  <c r="G128" i="1"/>
  <c r="S127" i="1"/>
  <c r="Q127" i="1"/>
  <c r="G127" i="1"/>
  <c r="T124" i="1"/>
  <c r="R124" i="1"/>
  <c r="S124" i="1" s="1"/>
  <c r="P124" i="1"/>
  <c r="Q124" i="1" s="1"/>
  <c r="O124" i="1"/>
  <c r="N124" i="1"/>
  <c r="M124" i="1"/>
  <c r="L124" i="1"/>
  <c r="K124" i="1"/>
  <c r="J124" i="1"/>
  <c r="I124" i="1"/>
  <c r="H124" i="1"/>
  <c r="F124" i="1"/>
  <c r="E124" i="1"/>
  <c r="D124" i="1"/>
  <c r="C124" i="1"/>
  <c r="B124" i="1"/>
  <c r="S121" i="1"/>
  <c r="Q121" i="1"/>
  <c r="G121" i="1"/>
  <c r="S120" i="1"/>
  <c r="Q120" i="1"/>
  <c r="G120" i="1"/>
  <c r="S116" i="1"/>
  <c r="Q116" i="1"/>
  <c r="G116" i="1"/>
  <c r="G124" i="1" s="1"/>
  <c r="T113" i="1"/>
  <c r="R113" i="1"/>
  <c r="S113" i="1" s="1"/>
  <c r="P113" i="1"/>
  <c r="Q113" i="1" s="1"/>
  <c r="O113" i="1"/>
  <c r="N113" i="1"/>
  <c r="M113" i="1"/>
  <c r="L113" i="1"/>
  <c r="K113" i="1"/>
  <c r="S112" i="1"/>
  <c r="Q112" i="1"/>
  <c r="S111" i="1"/>
  <c r="Q111" i="1"/>
  <c r="S110" i="1"/>
  <c r="Q110" i="1"/>
  <c r="S109" i="1"/>
  <c r="Q109" i="1"/>
  <c r="G109" i="1"/>
  <c r="S108" i="1"/>
  <c r="Q108" i="1"/>
  <c r="G108" i="1"/>
  <c r="S107" i="1"/>
  <c r="Q107" i="1"/>
  <c r="G107" i="1"/>
  <c r="S106" i="1"/>
  <c r="Q106" i="1"/>
  <c r="G106" i="1"/>
  <c r="S104" i="1"/>
  <c r="Q104" i="1"/>
  <c r="S103" i="1"/>
  <c r="Q103" i="1"/>
  <c r="G103" i="1"/>
  <c r="S102" i="1"/>
  <c r="Q102" i="1"/>
  <c r="G102" i="1"/>
  <c r="S101" i="1"/>
  <c r="Q101" i="1"/>
  <c r="G101" i="1"/>
  <c r="T98" i="1"/>
  <c r="R98" i="1"/>
  <c r="S98" i="1" s="1"/>
  <c r="P98" i="1"/>
  <c r="Q98" i="1" s="1"/>
  <c r="O98" i="1"/>
  <c r="N98" i="1"/>
  <c r="M98" i="1"/>
  <c r="L98" i="1"/>
  <c r="K98" i="1"/>
  <c r="S97" i="1"/>
  <c r="Q97" i="1"/>
  <c r="G97" i="1"/>
  <c r="S96" i="1"/>
  <c r="Q96" i="1"/>
  <c r="G96" i="1"/>
  <c r="S95" i="1"/>
  <c r="Q95" i="1"/>
  <c r="G95" i="1"/>
  <c r="S94" i="1"/>
  <c r="Q94" i="1"/>
  <c r="G94" i="1"/>
  <c r="S93" i="1"/>
  <c r="Q93" i="1"/>
  <c r="G93" i="1"/>
  <c r="T90" i="1"/>
  <c r="T288" i="1" s="1"/>
  <c r="R90" i="1"/>
  <c r="P90" i="1"/>
  <c r="O90" i="1"/>
  <c r="O288" i="1" s="1"/>
  <c r="N90" i="1"/>
  <c r="N288" i="1" s="1"/>
  <c r="M90" i="1"/>
  <c r="M288" i="1" s="1"/>
  <c r="L90" i="1"/>
  <c r="L288" i="1" s="1"/>
  <c r="K90" i="1"/>
  <c r="K288" i="1" s="1"/>
  <c r="S89" i="1"/>
  <c r="Q89" i="1"/>
  <c r="G89" i="1"/>
  <c r="S88" i="1"/>
  <c r="Q88" i="1"/>
  <c r="S87" i="1"/>
  <c r="Q87" i="1"/>
  <c r="G87" i="1"/>
  <c r="S86" i="1"/>
  <c r="Q86" i="1"/>
  <c r="S85" i="1"/>
  <c r="Q85" i="1"/>
  <c r="Q84" i="1"/>
  <c r="S83" i="1"/>
  <c r="Q83" i="1"/>
  <c r="G83" i="1"/>
  <c r="S80" i="1"/>
  <c r="Q80" i="1"/>
  <c r="G80" i="1"/>
  <c r="S79" i="1"/>
  <c r="Q79" i="1"/>
  <c r="G79" i="1"/>
  <c r="S78" i="1"/>
  <c r="Q78" i="1"/>
  <c r="G78" i="1"/>
  <c r="S76" i="1"/>
  <c r="Q76" i="1"/>
  <c r="S75" i="1"/>
  <c r="Q75" i="1"/>
  <c r="S74" i="1"/>
  <c r="Q74" i="1"/>
  <c r="Q73" i="1"/>
  <c r="G73" i="1"/>
  <c r="S72" i="1"/>
  <c r="Q72" i="1"/>
  <c r="S71" i="1"/>
  <c r="Q71" i="1"/>
  <c r="G71" i="1"/>
  <c r="P67" i="1"/>
  <c r="O67" i="1"/>
  <c r="O310" i="1" s="1"/>
  <c r="M67" i="1"/>
  <c r="M310" i="1" s="1"/>
  <c r="K67" i="1"/>
  <c r="K310" i="1" s="1"/>
  <c r="J67" i="1"/>
  <c r="I67" i="1"/>
  <c r="F67" i="1"/>
  <c r="E67" i="1"/>
  <c r="D67" i="1"/>
  <c r="C67" i="1"/>
  <c r="B67" i="1"/>
  <c r="S66" i="1"/>
  <c r="Q66" i="1"/>
  <c r="S64" i="1"/>
  <c r="Q64" i="1"/>
  <c r="S63" i="1"/>
  <c r="Q63" i="1"/>
  <c r="S61" i="1"/>
  <c r="Q61" i="1"/>
  <c r="S60" i="1"/>
  <c r="Q60" i="1"/>
  <c r="S59" i="1"/>
  <c r="Q59" i="1"/>
  <c r="S58" i="1"/>
  <c r="Q58" i="1"/>
  <c r="S57" i="1"/>
  <c r="Q57" i="1"/>
  <c r="G57" i="1"/>
  <c r="S56" i="1"/>
  <c r="Q56" i="1"/>
  <c r="L56" i="1"/>
  <c r="L67" i="1" s="1"/>
  <c r="L310" i="1" s="1"/>
  <c r="G56" i="1"/>
  <c r="S55" i="1"/>
  <c r="Q55" i="1"/>
  <c r="G55" i="1"/>
  <c r="S54" i="1"/>
  <c r="Q54" i="1"/>
  <c r="G54" i="1"/>
  <c r="S53" i="1"/>
  <c r="Q53" i="1"/>
  <c r="G53" i="1"/>
  <c r="S52" i="1"/>
  <c r="Q52" i="1"/>
  <c r="G52" i="1"/>
  <c r="S51" i="1"/>
  <c r="Q51" i="1"/>
  <c r="G51" i="1"/>
  <c r="S50" i="1"/>
  <c r="Q50" i="1"/>
  <c r="G50" i="1"/>
  <c r="S49" i="1"/>
  <c r="Q49" i="1"/>
  <c r="G49" i="1"/>
  <c r="S48" i="1"/>
  <c r="Q48" i="1"/>
  <c r="H48" i="1"/>
  <c r="H67" i="1" s="1"/>
  <c r="G48" i="1"/>
  <c r="S47" i="1"/>
  <c r="Q47" i="1"/>
  <c r="G47" i="1"/>
  <c r="S46" i="1"/>
  <c r="Q46" i="1"/>
  <c r="G46" i="1"/>
  <c r="Q45" i="1"/>
  <c r="G45" i="1"/>
  <c r="Q44" i="1"/>
  <c r="G44" i="1"/>
  <c r="S43" i="1"/>
  <c r="Q43" i="1"/>
  <c r="G43" i="1"/>
  <c r="Q42" i="1"/>
  <c r="N42" i="1"/>
  <c r="G42" i="1"/>
  <c r="T67" i="1"/>
  <c r="Q41" i="1"/>
  <c r="N41" i="1"/>
  <c r="N67" i="1" s="1"/>
  <c r="N310" i="1" s="1"/>
  <c r="G41" i="1"/>
  <c r="G67" i="1" s="1"/>
  <c r="T37" i="1"/>
  <c r="R37" i="1"/>
  <c r="P37" i="1"/>
  <c r="O37" i="1"/>
  <c r="O312" i="1" s="1"/>
  <c r="N37" i="1"/>
  <c r="N312" i="1" s="1"/>
  <c r="M37" i="1"/>
  <c r="M312" i="1" s="1"/>
  <c r="L37" i="1"/>
  <c r="L312" i="1" s="1"/>
  <c r="K37" i="1"/>
  <c r="K312" i="1" s="1"/>
  <c r="J37" i="1"/>
  <c r="H37" i="1"/>
  <c r="I37" i="1" s="1"/>
  <c r="F37" i="1"/>
  <c r="E37" i="1"/>
  <c r="D37" i="1"/>
  <c r="C37" i="1"/>
  <c r="B37" i="1"/>
  <c r="S36" i="1"/>
  <c r="Q36" i="1"/>
  <c r="G36" i="1"/>
  <c r="S35" i="1"/>
  <c r="Q35" i="1"/>
  <c r="S34" i="1"/>
  <c r="Q34" i="1"/>
  <c r="G34" i="1"/>
  <c r="S33" i="1"/>
  <c r="Q33" i="1"/>
  <c r="G33" i="1"/>
  <c r="S32" i="1"/>
  <c r="Q32" i="1"/>
  <c r="S31" i="1"/>
  <c r="Q31" i="1"/>
  <c r="G31" i="1"/>
  <c r="S30" i="1"/>
  <c r="S29" i="1"/>
  <c r="S28" i="1"/>
  <c r="S27" i="1"/>
  <c r="S26" i="1"/>
  <c r="Q26" i="1"/>
  <c r="G26" i="1"/>
  <c r="S25" i="1"/>
  <c r="Q25" i="1"/>
  <c r="G25" i="1"/>
  <c r="S24" i="1"/>
  <c r="Q24" i="1"/>
  <c r="G24" i="1"/>
  <c r="S23" i="1"/>
  <c r="Q23" i="1"/>
  <c r="G23" i="1"/>
  <c r="S22" i="1"/>
  <c r="Q22" i="1"/>
  <c r="G22" i="1"/>
  <c r="S21" i="1"/>
  <c r="Q21" i="1"/>
  <c r="S18" i="1"/>
  <c r="Q18" i="1"/>
  <c r="S16" i="1"/>
  <c r="Q16" i="1"/>
  <c r="G16" i="1"/>
  <c r="S15" i="1"/>
  <c r="Q15" i="1"/>
  <c r="S14" i="1"/>
  <c r="Q14" i="1"/>
  <c r="S13" i="1"/>
  <c r="Q13" i="1"/>
  <c r="S12" i="1"/>
  <c r="Q12" i="1"/>
  <c r="S9" i="1"/>
  <c r="Q9" i="1"/>
  <c r="S7" i="1"/>
  <c r="Q7" i="1"/>
  <c r="G7" i="1"/>
  <c r="S6" i="1"/>
  <c r="Q6" i="1"/>
  <c r="G6" i="1"/>
  <c r="G37" i="1" l="1"/>
  <c r="K318" i="1"/>
  <c r="K327" i="1" s="1"/>
  <c r="K316" i="1"/>
  <c r="L318" i="1"/>
  <c r="L316" i="1"/>
  <c r="M318" i="1"/>
  <c r="M327" i="1" s="1"/>
  <c r="M316" i="1"/>
  <c r="N318" i="1"/>
  <c r="N327" i="1" s="1"/>
  <c r="N316" i="1"/>
  <c r="O318" i="1"/>
  <c r="O327" i="1" s="1"/>
  <c r="O316" i="1"/>
  <c r="Q37" i="1"/>
  <c r="S37" i="1"/>
  <c r="R67" i="1"/>
  <c r="T310" i="1"/>
  <c r="S67" i="1"/>
  <c r="P288" i="1"/>
  <c r="P310" i="1" s="1"/>
  <c r="P312" i="1" s="1"/>
  <c r="Q90" i="1"/>
  <c r="R288" i="1"/>
  <c r="Q288" i="1" s="1"/>
  <c r="S90" i="1"/>
  <c r="S288" i="1"/>
  <c r="I288" i="1"/>
  <c r="B288" i="1"/>
  <c r="B310" i="1" s="1"/>
  <c r="B312" i="1" s="1"/>
  <c r="C288" i="1"/>
  <c r="C310" i="1" s="1"/>
  <c r="C312" i="1" s="1"/>
  <c r="D288" i="1"/>
  <c r="D310" i="1" s="1"/>
  <c r="D312" i="1" s="1"/>
  <c r="E288" i="1"/>
  <c r="E310" i="1" s="1"/>
  <c r="E312" i="1" s="1"/>
  <c r="F288" i="1"/>
  <c r="F310" i="1" s="1"/>
  <c r="F312" i="1" s="1"/>
  <c r="H288" i="1"/>
  <c r="J288" i="1"/>
  <c r="J310" i="1" s="1"/>
  <c r="J312" i="1" s="1"/>
  <c r="H321" i="1"/>
  <c r="G162" i="1"/>
  <c r="K328" i="1"/>
  <c r="L321" i="1"/>
  <c r="O328" i="1"/>
  <c r="P321" i="1"/>
  <c r="Q162" i="1"/>
  <c r="R321" i="1"/>
  <c r="Q321" i="1" s="1"/>
  <c r="S162" i="1"/>
  <c r="S321" i="1"/>
  <c r="S315" i="1"/>
  <c r="H327" i="1"/>
  <c r="G327" i="1" s="1"/>
  <c r="H328" i="1"/>
  <c r="M328" i="1"/>
  <c r="N328" i="1"/>
  <c r="Q320" i="1"/>
  <c r="H378" i="1"/>
  <c r="G378" i="1" s="1"/>
  <c r="G374" i="1"/>
  <c r="P374" i="1"/>
  <c r="P378" i="1" s="1"/>
  <c r="Q343" i="1"/>
  <c r="R374" i="1"/>
  <c r="S343" i="1"/>
  <c r="T378" i="1"/>
  <c r="S374" i="1"/>
  <c r="S378" i="1" s="1"/>
  <c r="R372" i="1"/>
  <c r="Q372" i="1" s="1"/>
  <c r="S351" i="1"/>
  <c r="S372" i="1"/>
  <c r="R378" i="1" l="1"/>
  <c r="Q374" i="1"/>
  <c r="Q378" i="1" s="1"/>
  <c r="J318" i="1"/>
  <c r="J327" i="1" s="1"/>
  <c r="J328" i="1" s="1"/>
  <c r="J316" i="1"/>
  <c r="G288" i="1"/>
  <c r="G310" i="1" s="1"/>
  <c r="H310" i="1"/>
  <c r="F318" i="1"/>
  <c r="F316" i="1"/>
  <c r="G312" i="1"/>
  <c r="G316" i="1" s="1"/>
  <c r="E318" i="1"/>
  <c r="E327" i="1" s="1"/>
  <c r="E328" i="1" s="1"/>
  <c r="E316" i="1"/>
  <c r="D318" i="1"/>
  <c r="D316" i="1"/>
  <c r="C318" i="1"/>
  <c r="C316" i="1"/>
  <c r="B318" i="1"/>
  <c r="B316" i="1"/>
  <c r="P318" i="1"/>
  <c r="P327" i="1" s="1"/>
  <c r="P328" i="1" s="1"/>
  <c r="P316" i="1"/>
  <c r="T312" i="1"/>
  <c r="R310" i="1"/>
  <c r="Q67" i="1"/>
  <c r="Q310" i="1" l="1"/>
  <c r="R312" i="1"/>
  <c r="S310" i="1"/>
  <c r="T318" i="1"/>
  <c r="T316" i="1"/>
  <c r="S312" i="1"/>
  <c r="R318" i="1" l="1"/>
  <c r="R316" i="1"/>
  <c r="Q312" i="1"/>
  <c r="Q316" i="1" l="1"/>
  <c r="S316" i="1"/>
  <c r="Q318" i="1"/>
  <c r="S318" i="1"/>
  <c r="S327" i="1"/>
  <c r="T328" i="1"/>
  <c r="Q327" i="1" l="1"/>
  <c r="R328" i="1"/>
  <c r="Q328" i="1" l="1"/>
  <c r="S328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<sst xmlns="http://schemas.openxmlformats.org/spreadsheetml/2006/main" count="390" uniqueCount="342">
  <si>
    <t>JEFFERSON COUNTY LIBRARY DISTRICT OPERATING BUDGET</t>
  </si>
  <si>
    <t>ACTUAL</t>
  </si>
  <si>
    <t>BUDGET</t>
  </si>
  <si>
    <t>Actual</t>
  </si>
  <si>
    <t>CHANGE IN</t>
  </si>
  <si>
    <t>SUPPLEMENTAL BUDGET</t>
  </si>
  <si>
    <t>CHANGE IN BUDGET</t>
  </si>
  <si>
    <t>ADOPTED BUDGET</t>
  </si>
  <si>
    <t xml:space="preserve">PROPOSED BUDGET </t>
  </si>
  <si>
    <t>2017 - 2018</t>
  </si>
  <si>
    <t>2018 - 2019</t>
  </si>
  <si>
    <t>2019 - 2020</t>
  </si>
  <si>
    <t>2019 -2020</t>
  </si>
  <si>
    <t>2021 - 2022</t>
  </si>
  <si>
    <t>2022-2023</t>
  </si>
  <si>
    <t>2023-2024</t>
  </si>
  <si>
    <t>2024-2025</t>
  </si>
  <si>
    <t>2025-2026</t>
  </si>
  <si>
    <t>2026-2027</t>
  </si>
  <si>
    <t>REVENUES</t>
  </si>
  <si>
    <t>Beginning Fund Balance - Non Grants (estimated)</t>
  </si>
  <si>
    <t>4300 - Grants</t>
  </si>
  <si>
    <t xml:space="preserve">  4300.10 - JCLA Reimb Grant</t>
  </si>
  <si>
    <t xml:space="preserve">  4300.xx - JCLA Reimb Grant Restricted</t>
  </si>
  <si>
    <t xml:space="preserve">  4300.15 - ALA Grant</t>
  </si>
  <si>
    <t xml:space="preserve">  4300.11 - ESSER Grant</t>
  </si>
  <si>
    <t xml:space="preserve">  4310 - OCF Grant Fall 2024</t>
  </si>
  <si>
    <t xml:space="preserve">  4320 - Roundhouse Grant</t>
  </si>
  <si>
    <t xml:space="preserve">  4329 - JCLA Supplemental Grant</t>
  </si>
  <si>
    <t xml:space="preserve">  4401 - Ready to Read</t>
  </si>
  <si>
    <t xml:space="preserve">  4430 - OCF Latino Partnership</t>
  </si>
  <si>
    <t xml:space="preserve">  4435 - Alpha Rho</t>
  </si>
  <si>
    <t xml:space="preserve">  4440 - Kyler Fund</t>
  </si>
  <si>
    <t xml:space="preserve">  4450 - Central OR STEM Hub</t>
  </si>
  <si>
    <t xml:space="preserve">  4460 - LSTA Grant</t>
  </si>
  <si>
    <t>5010 - Property Taxes - Jefferson County</t>
  </si>
  <si>
    <t>5030 - Property Taxes - Wasco County</t>
  </si>
  <si>
    <t>5110 - Fines &amp; Fees</t>
  </si>
  <si>
    <t>5130 - Non-resident cards</t>
  </si>
  <si>
    <t>5310 - Interest income - investments</t>
  </si>
  <si>
    <t xml:space="preserve">  5130.01 General Fund</t>
  </si>
  <si>
    <t xml:space="preserve">  5130.02 Genealogy Fund</t>
  </si>
  <si>
    <t xml:space="preserve">  5310.03 Comingore Fund</t>
  </si>
  <si>
    <t xml:space="preserve">  5310.04 Beth Crow Fund</t>
  </si>
  <si>
    <t xml:space="preserve">5310.1 - Interest income: property taxes </t>
  </si>
  <si>
    <t>5310.3 - Interest income: sale of building</t>
  </si>
  <si>
    <t>5490 - Miscellaneous Income</t>
  </si>
  <si>
    <t>4010 - Donations - Individuals/Businesses</t>
  </si>
  <si>
    <t>5495 - Gain on Building Sale</t>
  </si>
  <si>
    <t>5500 - Transfer from Building and Improvement Fund</t>
  </si>
  <si>
    <t>TOTAL REVENUES</t>
  </si>
  <si>
    <t>PERSONNEL SERVICES</t>
  </si>
  <si>
    <t>SALARIES &amp; RELATED EXPENSES</t>
  </si>
  <si>
    <t>6001 - Director</t>
  </si>
  <si>
    <t>6002 - Library Manager/AD</t>
  </si>
  <si>
    <t>6006 - Library Specialists</t>
  </si>
  <si>
    <t>6007 - Library Clerks/Specialists</t>
  </si>
  <si>
    <t>6016 - Maintenance Staff</t>
  </si>
  <si>
    <t>6009 - Employee Benefits - Other</t>
  </si>
  <si>
    <t>6009.0 - Employee Benefits - Health Insurance Prem</t>
  </si>
  <si>
    <t>6009.1 - Employee Benefits - HSA</t>
  </si>
  <si>
    <t>6009.2 - Employee Benefits - Ins Maint. Fees</t>
  </si>
  <si>
    <t>6009.3 - Quickbook fees</t>
  </si>
  <si>
    <t>6009.4 - Tuition Reimbursement</t>
  </si>
  <si>
    <t>6009.5 -  457(b)</t>
  </si>
  <si>
    <t>6010 - PERS Pension</t>
  </si>
  <si>
    <t>6011 - Payroll Taxes</t>
  </si>
  <si>
    <t>8401 - Workers Compensation</t>
  </si>
  <si>
    <t>8700.5 - Genealogy Center Wages/Taxes/Pers</t>
  </si>
  <si>
    <t>7001.4 - Ready to Read Wages/Taxes/PERS</t>
  </si>
  <si>
    <t>7000.9 -ARPA Wages/Taxes/PERS/Health</t>
  </si>
  <si>
    <t>7000.15 - OCF K-12 Wages/Taxes/PERS</t>
  </si>
  <si>
    <t>ALA Wages/Taxes/PERS</t>
  </si>
  <si>
    <t>7027 - Esser Grant Wages/Taxes/etc</t>
  </si>
  <si>
    <t>7027 ESSER Grant Expenses - Wages, Taxes, Pension</t>
  </si>
  <si>
    <t>7029.1 - JCLA Supp Tuition Asst</t>
  </si>
  <si>
    <t>7029.4/.5/.6 - JCLA Supp Grant Wages/Taxes/PERS</t>
  </si>
  <si>
    <t xml:space="preserve">7045 - Central OR STEM Hub </t>
  </si>
  <si>
    <t>7047 - LSTA Grant Wages/Taxes/PERS</t>
  </si>
  <si>
    <t>TOTAL PERSONNEL SERVICES</t>
  </si>
  <si>
    <t>MATERIALS &amp; SERVICES</t>
  </si>
  <si>
    <t>BUSINESS EXPENSES</t>
  </si>
  <si>
    <t>8110 - Office Supplies</t>
  </si>
  <si>
    <t>8305 - Elections</t>
  </si>
  <si>
    <t>8601 - Dues &amp; Fees</t>
  </si>
  <si>
    <t xml:space="preserve">  8601.1 - Square Processing</t>
  </si>
  <si>
    <t xml:space="preserve">  8601.2 - Individual Membership</t>
  </si>
  <si>
    <t xml:space="preserve">  8601.3 - Library Membership</t>
  </si>
  <si>
    <t>8605 - Vehicle Fuel &amp; Maintenance</t>
  </si>
  <si>
    <t>8609 - Copier Lease</t>
  </si>
  <si>
    <t>8610 - Copier Expense</t>
  </si>
  <si>
    <t>8611 - Marketing &amp; Advertising</t>
  </si>
  <si>
    <t xml:space="preserve">  8611.1 Marketing</t>
  </si>
  <si>
    <t xml:space="preserve">  8611.2 Advertising</t>
  </si>
  <si>
    <t>8613 - Bank/Credit Card Service Chg</t>
  </si>
  <si>
    <t>8616 - Telecommunications</t>
  </si>
  <si>
    <t>8616.1 - Telephone</t>
  </si>
  <si>
    <t>8616.2 - Internet</t>
  </si>
  <si>
    <t>8622 - Collection Agency</t>
  </si>
  <si>
    <t>8624 - Website Hosting</t>
  </si>
  <si>
    <t>8614 - Misc Expenses</t>
  </si>
  <si>
    <t>TOTAL BUSINESS EXPENSES</t>
  </si>
  <si>
    <t>PROFESSIONAL, ACCOUNTING, and AUDIT EXPENSES</t>
  </si>
  <si>
    <t>8606 - Legal &amp; Professional Services</t>
  </si>
  <si>
    <t>8607 - Accounting - Monthly</t>
  </si>
  <si>
    <t>8612 - Consultant Fees</t>
  </si>
  <si>
    <t>8615 - Accounting - Audit</t>
  </si>
  <si>
    <t>8617 - Software</t>
  </si>
  <si>
    <t>TOTAL PROF/ACC/AUDIT EXPENSES</t>
  </si>
  <si>
    <t>CIRCULATION AND CATALOGING EXPENSES</t>
  </si>
  <si>
    <t>8130 - Processing and other expenses</t>
  </si>
  <si>
    <t>81XX - Special Projects</t>
  </si>
  <si>
    <t>8140 - Postage, Shipping, Delivery</t>
  </si>
  <si>
    <t>8141 - Inter-Library Loan postage</t>
  </si>
  <si>
    <t>8160 - Library Cards</t>
  </si>
  <si>
    <t>8619.1 DPLS</t>
  </si>
  <si>
    <t>8619.2 - DPL Courier</t>
  </si>
  <si>
    <t>8619.3 - Internet</t>
  </si>
  <si>
    <t>8621 - Staff Database</t>
  </si>
  <si>
    <t>8626 - RFID Maintenance</t>
  </si>
  <si>
    <t>8627 - Square Processing Fees</t>
  </si>
  <si>
    <t>TOTAL CIRC/CATALOG EXPENSES</t>
  </si>
  <si>
    <t>MAINTENANCE &amp; REPAIRS</t>
  </si>
  <si>
    <t>8552 - Building Maintenance &amp; Repairs</t>
  </si>
  <si>
    <t xml:space="preserve">  8552.1 - One time services</t>
  </si>
  <si>
    <t xml:space="preserve">  8552.2 - Routine services</t>
  </si>
  <si>
    <t xml:space="preserve">  8552.3 - Supplies</t>
  </si>
  <si>
    <t>8553 - Equip/Computer Maintenance &amp; Repairs</t>
  </si>
  <si>
    <t>8605 - Vehicle Maintenance/Fuel</t>
  </si>
  <si>
    <t xml:space="preserve">  8605.1 - Fuel</t>
  </si>
  <si>
    <t xml:space="preserve">  8605.2 - Maintenance</t>
  </si>
  <si>
    <t>TOTAL MAINTENANCE &amp; REPAIRS</t>
  </si>
  <si>
    <t>TRAVEL/TRAINING/MEETINGS</t>
  </si>
  <si>
    <t>8301 - Board Expenses</t>
  </si>
  <si>
    <t>8310 - Travel</t>
  </si>
  <si>
    <t>8320 - Training</t>
  </si>
  <si>
    <t>8325 - Lodging</t>
  </si>
  <si>
    <t>8330 - Food/meals</t>
  </si>
  <si>
    <t>8335 - Mileage</t>
  </si>
  <si>
    <t>TOTAL TRAVEL/TRAINING/MEETINGS</t>
  </si>
  <si>
    <t>INSURANCE</t>
  </si>
  <si>
    <t>8402 - Property</t>
  </si>
  <si>
    <t>8403 - Automobile</t>
  </si>
  <si>
    <t>8405 - Crime by employee</t>
  </si>
  <si>
    <t>8406 - Liability</t>
  </si>
  <si>
    <t>TOTAL INSURANCE EXPENSE</t>
  </si>
  <si>
    <t>OPERATING EXPENSES - Annex</t>
  </si>
  <si>
    <t>8230 - Heating (gas)</t>
  </si>
  <si>
    <t>8240 - Electric</t>
  </si>
  <si>
    <t>8249 - Water &amp; Sewer</t>
  </si>
  <si>
    <t>8280 - Building Maintenance &amp; Repairs</t>
  </si>
  <si>
    <t>8283 - Supplies</t>
  </si>
  <si>
    <t>TOTAL ANNEX OPERATING</t>
  </si>
  <si>
    <t xml:space="preserve">OCCUPANCY  GENEALOGY </t>
  </si>
  <si>
    <t>8700.20 - Electric</t>
  </si>
  <si>
    <t>8700.25 - Heat/Gas</t>
  </si>
  <si>
    <t>8700.45 - Telephone</t>
  </si>
  <si>
    <t>8700.55 - Water &amp; Sewer</t>
  </si>
  <si>
    <t>8700.15 - Data Line (Internet)</t>
  </si>
  <si>
    <t>8700.10 - Building Maintenance &amp; Repairs</t>
  </si>
  <si>
    <t>8700.60 - Databases</t>
  </si>
  <si>
    <t>8700.40 - Security</t>
  </si>
  <si>
    <t>8700.65 - Equipment Maintenance &amp; Repairs</t>
  </si>
  <si>
    <t>8700.XX Equipment</t>
  </si>
  <si>
    <t>TOTAL GENEALOGY</t>
  </si>
  <si>
    <t>OCCUPANCY EXPENSES - MAIN LIBRARY</t>
  </si>
  <si>
    <t>8510 - Electric</t>
  </si>
  <si>
    <t>8520 - Heat/Gas</t>
  </si>
  <si>
    <t>8530 - Telephone</t>
  </si>
  <si>
    <t>8540 - Water &amp; Sewer</t>
  </si>
  <si>
    <t>8550 - Security</t>
  </si>
  <si>
    <t>8560 - Garbage</t>
  </si>
  <si>
    <t>8542 - Supplies</t>
  </si>
  <si>
    <t>TOTAL OCCUPANCY EXPENSES - MAIN LIBRARY</t>
  </si>
  <si>
    <t>OCCUPANCY EXPENSES - 227/229</t>
  </si>
  <si>
    <t>8800.10 - Electric</t>
  </si>
  <si>
    <t>8800.15 - Internet</t>
  </si>
  <si>
    <t>8800.20 - Gas</t>
  </si>
  <si>
    <t>8800.40 - Water &amp; Sewer</t>
  </si>
  <si>
    <t>8800.60 - Security</t>
  </si>
  <si>
    <t>8800.70 - Taxes</t>
  </si>
  <si>
    <t>TOTAL OCCUPANCY EXPENSES - 227/229</t>
  </si>
  <si>
    <t>OCCUPANCY EXPENSES - CULVER</t>
  </si>
  <si>
    <t>8850.10 - Electric</t>
  </si>
  <si>
    <t>8850.15 - Internet</t>
  </si>
  <si>
    <t>8850.40 - Water</t>
  </si>
  <si>
    <t>8850.45 - Sewer</t>
  </si>
  <si>
    <t>8850.50 - Building Maintenance &amp; Repairs</t>
  </si>
  <si>
    <t>8850.55 - Supplies</t>
  </si>
  <si>
    <t>8850.60 - Security</t>
  </si>
  <si>
    <t>TOTAL OCCUPANCY EXPENSES - CULVER</t>
  </si>
  <si>
    <t>OCCUPANCY EXPENSES - 234</t>
  </si>
  <si>
    <t>8870.20  - Electric</t>
  </si>
  <si>
    <t>8870.25  - Gas</t>
  </si>
  <si>
    <t>8870.55 -  Water &amp; Sewer</t>
  </si>
  <si>
    <t>8870.35  - Building Maintenance &amp; Repairs</t>
  </si>
  <si>
    <t>8870.70 - Taxes</t>
  </si>
  <si>
    <t>TOTAL OCCUPANCY EXPENSES - 234</t>
  </si>
  <si>
    <t>OCCUPANCY EXPENSES - 248</t>
  </si>
  <si>
    <t>8750.10 - Electric</t>
  </si>
  <si>
    <t>8750.15 - Gas</t>
  </si>
  <si>
    <t>8750.20 - Water &amp; Sewer</t>
  </si>
  <si>
    <t>TOTAL OCCUPANCY EXPENSES - 248</t>
  </si>
  <si>
    <t>PATRON USABLE MATERIALS</t>
  </si>
  <si>
    <t>7500 Books</t>
  </si>
  <si>
    <t>7510.1 - Adult Books</t>
  </si>
  <si>
    <t xml:space="preserve">7510.2 - Spanish Books </t>
  </si>
  <si>
    <t>7510.21 - Spanish/Adult</t>
  </si>
  <si>
    <t>7510.22 - Spanish/Other</t>
  </si>
  <si>
    <t>7510.23 - Spanish/Youth</t>
  </si>
  <si>
    <t>7510.3 - Youth Books</t>
  </si>
  <si>
    <t>7510.31 - Youth/Children</t>
  </si>
  <si>
    <t>7510.32 - Youth/Juniors</t>
  </si>
  <si>
    <t>7510.33 - Youth/Teens</t>
  </si>
  <si>
    <t>7510.4 -ILL Replacements</t>
  </si>
  <si>
    <t>7520.0 Multi-Media</t>
  </si>
  <si>
    <t>7520.1 - Multi-Media/Adult</t>
  </si>
  <si>
    <t>7520.2 - Multi-Media/Spanish</t>
  </si>
  <si>
    <t>7520.3 - Multi-Media/Youth</t>
  </si>
  <si>
    <t xml:space="preserve">  7520.31 - Junior DVDs</t>
  </si>
  <si>
    <t xml:space="preserve">  7520.33 - Teen DVDs</t>
  </si>
  <si>
    <t>7520.35 - Audiobooks/Juniors</t>
  </si>
  <si>
    <t>7530 Periodicals</t>
  </si>
  <si>
    <t>7530.1 - Periodicals/Adult</t>
  </si>
  <si>
    <t>7530.2 - Periodicals/Spanish</t>
  </si>
  <si>
    <t>7530.4 - eMagazines</t>
  </si>
  <si>
    <t>7535 - Patron Database</t>
  </si>
  <si>
    <t>7555 Downloadable digital content</t>
  </si>
  <si>
    <t>7560 - Library of Things</t>
  </si>
  <si>
    <t>7560.1 - Adult</t>
  </si>
  <si>
    <t>7560.3 - Youth</t>
  </si>
  <si>
    <t>8619.11 - Electronic Content - DPL</t>
  </si>
  <si>
    <t>TOTAL PATRON USABLE MATERIALS</t>
  </si>
  <si>
    <t>PROGRAM EXPENSES</t>
  </si>
  <si>
    <t>7010.1 - Adult</t>
  </si>
  <si>
    <t>7010.2 - Spanish</t>
  </si>
  <si>
    <t>7010.3 Youth Programs</t>
  </si>
  <si>
    <t>7010.34 - Children</t>
  </si>
  <si>
    <t>7010.36 - Teens</t>
  </si>
  <si>
    <t>7010.6 - Outreach</t>
  </si>
  <si>
    <r>
      <t>7010.97 - Outreach,</t>
    </r>
    <r>
      <rPr>
        <strike/>
        <sz val="10"/>
        <rFont val="Calibri (Body)"/>
      </rPr>
      <t xml:space="preserve"> Adult</t>
    </r>
  </si>
  <si>
    <t>7010.98 - Decorations</t>
  </si>
  <si>
    <t>7010.99 - Food</t>
  </si>
  <si>
    <t>7020 - Summer Reading Program</t>
  </si>
  <si>
    <t>7060 - Community Read</t>
  </si>
  <si>
    <t>7070 - Film Center Expenses</t>
  </si>
  <si>
    <t>7080 - Deposits</t>
  </si>
  <si>
    <t>TOTAL PROGRAM EXPENSES</t>
  </si>
  <si>
    <t>GRANT EXPENSES</t>
  </si>
  <si>
    <t>7001.0 - Ready to Read - Travel</t>
  </si>
  <si>
    <t>7001.7 - Van Maintenance</t>
  </si>
  <si>
    <t>7001.9 - Ready to Read - Other</t>
  </si>
  <si>
    <t>TOTAL READY TO READ GRANT EXPENSES</t>
  </si>
  <si>
    <t>7000 - Various grants</t>
  </si>
  <si>
    <t>7000.8 - OAESD Grant Expenses</t>
  </si>
  <si>
    <t>7000.9 - OCF K-12 Grant Expenses</t>
  </si>
  <si>
    <t>7000.15 - ALA Grant Expenses</t>
  </si>
  <si>
    <t>7000.17 - ARPA Grant Expenses</t>
  </si>
  <si>
    <t>7000 - Grant Expenses</t>
  </si>
  <si>
    <t>7003.10 - OCF Fall 2024 Grant Exp</t>
  </si>
  <si>
    <t>7003.20 - Roundhouse Grant Exp</t>
  </si>
  <si>
    <t>7027 - ESSER Grant Expenses</t>
  </si>
  <si>
    <t>7028 - JCLA Reimb Grant Expenses</t>
  </si>
  <si>
    <t xml:space="preserve">  7028.2 Special Projects</t>
  </si>
  <si>
    <t xml:space="preserve">  7028.3 SRP</t>
  </si>
  <si>
    <t xml:space="preserve">  7028.4 Programming Food</t>
  </si>
  <si>
    <t xml:space="preserve">  7028.5 Overdrive Advantage</t>
  </si>
  <si>
    <t xml:space="preserve">  7028.6 Staff mini grants</t>
  </si>
  <si>
    <t xml:space="preserve">  7028.7 Materials</t>
  </si>
  <si>
    <t xml:space="preserve">  7028.8 Kathie Olson family </t>
  </si>
  <si>
    <t>7029 - JCLA Supplemental Gr Exp</t>
  </si>
  <si>
    <t xml:space="preserve">  7029.2 - Materials</t>
  </si>
  <si>
    <t xml:space="preserve">  7029.3 - Programs</t>
  </si>
  <si>
    <t xml:space="preserve">  7029.7 - Travel/Training</t>
  </si>
  <si>
    <t>7035 - OCF Latino Partnership Grant Expenses</t>
  </si>
  <si>
    <t>7036 - Alpha Rho Grant Expenses</t>
  </si>
  <si>
    <t>7041 - Kyler Grant Expenses</t>
  </si>
  <si>
    <t>7045 - Cent OR STEM Hub Expenses</t>
  </si>
  <si>
    <t>TOTAL GRANT EXPENSES</t>
  </si>
  <si>
    <t>TOTAL MATERIALS &amp; SERVICES</t>
  </si>
  <si>
    <t>CAPITAL OUTLAY</t>
  </si>
  <si>
    <t>9000.1 - Children's Area Improvement</t>
  </si>
  <si>
    <t>9000.2 - RFID</t>
  </si>
  <si>
    <t>9000.3 - Computer Replacement</t>
  </si>
  <si>
    <t>9040 - Building &amp; Improvement</t>
  </si>
  <si>
    <t>9010 - Equip/Furn/Computer/Vehicle</t>
  </si>
  <si>
    <t>ARPA Grant Capital Outlay</t>
  </si>
  <si>
    <t>OCF K-12 Capital Outlay</t>
  </si>
  <si>
    <t>JCLA Capital Outlay</t>
  </si>
  <si>
    <t>TOTAL CAPITAL OUTLAY</t>
  </si>
  <si>
    <t>DEBT SERVICE</t>
  </si>
  <si>
    <t>9051 - Mortgage - Principal</t>
  </si>
  <si>
    <t>9052 - Loan Interest/Expenses</t>
  </si>
  <si>
    <t>TOTAL DEBT SERVICE</t>
  </si>
  <si>
    <t>9800 - Transfer from General fund to Bldg &amp; Improv Fund</t>
  </si>
  <si>
    <t>9201 - General Operating Contingency</t>
  </si>
  <si>
    <t>TOTAL EXPENDITURES PAID</t>
  </si>
  <si>
    <t>EXCESS OF REVENUES OVER EXPENDITURES</t>
  </si>
  <si>
    <t>REVENUE REPORTED THAT IS PART OF BEG FB</t>
  </si>
  <si>
    <t>FUND BALANCE, BEGINNING OF YEAR</t>
  </si>
  <si>
    <t>FUND BALANCE, END OF YEAR</t>
  </si>
  <si>
    <t>CHANGE IN FUND BALANCE</t>
  </si>
  <si>
    <t>Grant Income received in Prior year spending this year</t>
  </si>
  <si>
    <t>PERS Buydown</t>
  </si>
  <si>
    <t>Genealogy Expenses</t>
  </si>
  <si>
    <t>Transfer to Building &amp; Improvement Fund unlikely (9800)</t>
  </si>
  <si>
    <t xml:space="preserve">General Operating Contingency </t>
  </si>
  <si>
    <t>Transfer from Building Improvement Fund unlikely to receive (5500)</t>
  </si>
  <si>
    <t>Unknown Grant Revenue - not budgeted as income</t>
  </si>
  <si>
    <t>Employee Benefits - Other</t>
  </si>
  <si>
    <t>Net Income (Loss) From Normal Operations</t>
  </si>
  <si>
    <t xml:space="preserve"> </t>
  </si>
  <si>
    <t>JEFFERSON COUNTY LIBRARY DISTRICT BUILDING &amp; IMPROVEMENT BUDGET</t>
  </si>
  <si>
    <t>8000 - Transfer from General fund</t>
  </si>
  <si>
    <t>9100 - Interest Income (Fund #793)</t>
  </si>
  <si>
    <t>9101 - Misc. Other Income</t>
  </si>
  <si>
    <t>9155 - Rental Income</t>
  </si>
  <si>
    <t>Grants</t>
  </si>
  <si>
    <t>9750 - Interest income</t>
  </si>
  <si>
    <t>TOTAL REVENUE</t>
  </si>
  <si>
    <t>EXPENDITURES</t>
  </si>
  <si>
    <t xml:space="preserve">   PERSONNEL</t>
  </si>
  <si>
    <t>9xxx - Staff</t>
  </si>
  <si>
    <t xml:space="preserve">    9xxx.4 - Wages</t>
  </si>
  <si>
    <t xml:space="preserve">    9xxx.5 - PERS</t>
  </si>
  <si>
    <t xml:space="preserve">    9xxx.6 - Taxes</t>
  </si>
  <si>
    <t>TOTAL PERSONNEL</t>
  </si>
  <si>
    <t xml:space="preserve">  MATERIALS &amp; SERVICES</t>
  </si>
  <si>
    <t xml:space="preserve">    9202 - Miscellaneous Other Expenses</t>
  </si>
  <si>
    <t xml:space="preserve">    9251 - Bank Service Charges</t>
  </si>
  <si>
    <t xml:space="preserve">    9256 - Repairs &amp; Maintenance</t>
  </si>
  <si>
    <t>9260 - House 234 SE 7th St</t>
  </si>
  <si>
    <t>9260.1 - Advertising</t>
  </si>
  <si>
    <t xml:space="preserve">    9260.4 - Professional Services</t>
  </si>
  <si>
    <t xml:space="preserve">    9260.5 - Property Management Fee</t>
  </si>
  <si>
    <t xml:space="preserve">    9260.6 - Repairs &amp; maintenance</t>
  </si>
  <si>
    <t xml:space="preserve">    9260.7 - Taxes</t>
  </si>
  <si>
    <t xml:space="preserve">    9260.8 - Utilities</t>
  </si>
  <si>
    <t>9380 - Capital Outlay</t>
  </si>
  <si>
    <t>9400 - Transfer to General Fund</t>
  </si>
  <si>
    <t>9390 - Building Contingency Fund</t>
  </si>
  <si>
    <t>TOTAL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</si>
</sst>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;@"/>
    <numFmt numFmtId="165" formatCode="#,##0.00;[Red]#,##0.00"/>
    <numFmt numFmtId="166" formatCode="0.00_);[Red]\(0.00\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scheme val="minor"/>
    </font>
    <font>
      <b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00B0F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trike/>
      <sz val="10"/>
      <name val="Aptos Narrow"/>
      <family val="2"/>
      <scheme val="minor"/>
    </font>
    <font>
      <strike/>
      <sz val="10"/>
      <color theme="1"/>
      <name val="Aptos Narrow"/>
      <family val="2"/>
      <scheme val="minor"/>
    </font>
    <font>
      <strike/>
      <sz val="10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B0F0"/>
      <name val="Aptos Narrow"/>
      <family val="2"/>
      <scheme val="minor"/>
    </font>
    <font>
      <b/>
      <strike/>
      <sz val="10"/>
      <name val="Aptos Narrow"/>
      <family val="2"/>
      <scheme val="minor"/>
    </font>
    <font>
      <sz val="10"/>
      <name val="Calibri (Body)"/>
    </font>
    <font>
      <sz val="10"/>
      <color rgb="FF000000"/>
      <name val="Calibri (Body)"/>
    </font>
    <font>
      <strike/>
      <sz val="10"/>
      <name val="Calibri (Body)"/>
    </font>
    <font>
      <b/>
      <sz val="9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80">
    <xf numFmtId="0" fontId="0" fillId="0" borderId="0" xfId="0"/>
    <xf numFmtId="39" fontId="3" fillId="0" borderId="1" xfId="0" applyNumberFormat="1" applyFont="1" applyBorder="1" applyAlignment="1">
      <alignment wrapText="1"/>
    </xf>
    <xf numFmtId="39" fontId="4" fillId="0" borderId="1" xfId="0" applyNumberFormat="1" applyFont="1" applyBorder="1" applyAlignment="1">
      <alignment horizontal="right"/>
    </xf>
    <xf numFmtId="39" fontId="4" fillId="0" borderId="1" xfId="0" applyNumberFormat="1" applyFont="1" applyBorder="1" applyAlignment="1">
      <alignment horizontal="center"/>
    </xf>
    <xf numFmtId="39" fontId="4" fillId="0" borderId="1" xfId="0" applyNumberFormat="1" applyFont="1" applyBorder="1" applyAlignment="1">
      <alignment horizontal="center" wrapText="1"/>
    </xf>
    <xf numFmtId="39" fontId="5" fillId="0" borderId="1" xfId="0" applyNumberFormat="1" applyFont="1" applyBorder="1" applyAlignment="1">
      <alignment horizontal="center"/>
    </xf>
    <xf numFmtId="39" fontId="6" fillId="0" borderId="1" xfId="0" applyNumberFormat="1" applyFont="1" applyBorder="1" applyAlignment="1">
      <alignment horizontal="center" wrapText="1"/>
    </xf>
    <xf numFmtId="39" fontId="4" fillId="0" borderId="2" xfId="0" applyNumberFormat="1" applyFont="1" applyBorder="1" applyAlignment="1">
      <alignment horizontal="center" wrapText="1"/>
    </xf>
    <xf numFmtId="39" fontId="4" fillId="0" borderId="3" xfId="0" applyNumberFormat="1" applyFont="1" applyBorder="1" applyAlignment="1">
      <alignment horizontal="center" wrapText="1"/>
    </xf>
    <xf numFmtId="39" fontId="3" fillId="3" borderId="4" xfId="0" applyNumberFormat="1" applyFont="1" applyFill="1" applyBorder="1" applyAlignment="1">
      <alignment horizontal="center" wrapText="1"/>
    </xf>
    <xf numFmtId="39" fontId="4" fillId="0" borderId="1" xfId="0" applyNumberFormat="1" applyFont="1" applyBorder="1" applyAlignment="1">
      <alignment wrapText="1"/>
    </xf>
    <xf numFmtId="164" fontId="4" fillId="0" borderId="1" xfId="0" quotePrefix="1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39" fontId="7" fillId="0" borderId="1" xfId="0" applyNumberFormat="1" applyFont="1" applyBorder="1"/>
    <xf numFmtId="39" fontId="7" fillId="0" borderId="5" xfId="0" applyNumberFormat="1" applyFont="1" applyBorder="1"/>
    <xf numFmtId="39" fontId="3" fillId="3" borderId="6" xfId="0" applyNumberFormat="1" applyFont="1" applyFill="1" applyBorder="1" applyAlignment="1">
      <alignment horizontal="center" wrapText="1"/>
    </xf>
    <xf numFmtId="39" fontId="7" fillId="0" borderId="1" xfId="0" applyNumberFormat="1" applyFont="1" applyBorder="1" applyAlignment="1">
      <alignment wrapText="1"/>
    </xf>
    <xf numFmtId="39" fontId="8" fillId="0" borderId="1" xfId="0" applyNumberFormat="1" applyFont="1" applyBorder="1" applyAlignment="1">
      <alignment horizontal="right"/>
    </xf>
    <xf numFmtId="39" fontId="7" fillId="0" borderId="1" xfId="0" applyNumberFormat="1" applyFont="1" applyBorder="1" applyAlignment="1">
      <alignment horizontal="right"/>
    </xf>
    <xf numFmtId="39" fontId="8" fillId="0" borderId="1" xfId="0" applyNumberFormat="1" applyFont="1" applyBorder="1" applyAlignment="1">
      <alignment horizontal="right" wrapText="1"/>
    </xf>
    <xf numFmtId="39" fontId="9" fillId="0" borderId="1" xfId="0" applyNumberFormat="1" applyFont="1" applyBorder="1"/>
    <xf numFmtId="39" fontId="10" fillId="3" borderId="7" xfId="0" applyNumberFormat="1" applyFont="1" applyFill="1" applyBorder="1"/>
    <xf numFmtId="39" fontId="10" fillId="3" borderId="1" xfId="0" applyNumberFormat="1" applyFont="1" applyFill="1" applyBorder="1"/>
    <xf numFmtId="39" fontId="7" fillId="0" borderId="1" xfId="0" applyNumberFormat="1" applyFont="1" applyBorder="1" applyAlignment="1">
      <alignment horizontal="right" wrapText="1"/>
    </xf>
    <xf numFmtId="39" fontId="7" fillId="3" borderId="1" xfId="0" applyNumberFormat="1" applyFont="1" applyFill="1" applyBorder="1"/>
    <xf numFmtId="39" fontId="7" fillId="0" borderId="1" xfId="0" applyNumberFormat="1" applyFont="1" applyBorder="1" applyAlignment="1">
      <alignment horizontal="left" wrapText="1"/>
    </xf>
    <xf numFmtId="39" fontId="11" fillId="0" borderId="1" xfId="0" applyNumberFormat="1" applyFont="1" applyBorder="1" applyAlignment="1">
      <alignment horizontal="left" wrapText="1"/>
    </xf>
    <xf numFmtId="39" fontId="11" fillId="0" borderId="1" xfId="0" applyNumberFormat="1" applyFont="1" applyBorder="1" applyAlignment="1">
      <alignment horizontal="right"/>
    </xf>
    <xf numFmtId="39" fontId="11" fillId="0" borderId="1" xfId="0" applyNumberFormat="1" applyFont="1" applyBorder="1" applyAlignment="1">
      <alignment horizontal="right" wrapText="1"/>
    </xf>
    <xf numFmtId="39" fontId="12" fillId="0" borderId="1" xfId="0" applyNumberFormat="1" applyFont="1" applyBorder="1"/>
    <xf numFmtId="39" fontId="11" fillId="0" borderId="1" xfId="0" applyNumberFormat="1" applyFont="1" applyBorder="1"/>
    <xf numFmtId="39" fontId="11" fillId="3" borderId="1" xfId="0" applyNumberFormat="1" applyFont="1" applyFill="1" applyBorder="1"/>
    <xf numFmtId="39" fontId="13" fillId="3" borderId="1" xfId="0" applyNumberFormat="1" applyFont="1" applyFill="1" applyBorder="1"/>
    <xf numFmtId="39" fontId="11" fillId="0" borderId="1" xfId="0" applyNumberFormat="1" applyFont="1" applyBorder="1" applyAlignment="1">
      <alignment wrapText="1"/>
    </xf>
    <xf numFmtId="39" fontId="7" fillId="0" borderId="1" xfId="0" applyNumberFormat="1" applyFont="1" applyBorder="1" applyAlignment="1">
      <alignment shrinkToFit="1"/>
    </xf>
    <xf numFmtId="39" fontId="14" fillId="0" borderId="1" xfId="0" applyNumberFormat="1" applyFont="1" applyBorder="1"/>
    <xf numFmtId="39" fontId="15" fillId="0" borderId="1" xfId="0" applyNumberFormat="1" applyFont="1" applyBorder="1"/>
    <xf numFmtId="39" fontId="14" fillId="0" borderId="1" xfId="0" applyNumberFormat="1" applyFont="1" applyBorder="1" applyAlignment="1">
      <alignment wrapText="1"/>
    </xf>
    <xf numFmtId="39" fontId="4" fillId="4" borderId="1" xfId="0" applyNumberFormat="1" applyFont="1" applyFill="1" applyBorder="1" applyAlignment="1">
      <alignment wrapText="1"/>
    </xf>
    <xf numFmtId="39" fontId="4" fillId="4" borderId="1" xfId="0" applyNumberFormat="1" applyFont="1" applyFill="1" applyBorder="1" applyAlignment="1">
      <alignment horizontal="right"/>
    </xf>
    <xf numFmtId="39" fontId="4" fillId="4" borderId="1" xfId="0" applyNumberFormat="1" applyFont="1" applyFill="1" applyBorder="1" applyAlignment="1">
      <alignment horizontal="right" shrinkToFit="1"/>
    </xf>
    <xf numFmtId="39" fontId="9" fillId="4" borderId="1" xfId="0" applyNumberFormat="1" applyFont="1" applyFill="1" applyBorder="1"/>
    <xf numFmtId="39" fontId="4" fillId="4" borderId="1" xfId="0" applyNumberFormat="1" applyFont="1" applyFill="1" applyBorder="1"/>
    <xf numFmtId="39" fontId="7" fillId="4" borderId="1" xfId="0" applyNumberFormat="1" applyFont="1" applyFill="1" applyBorder="1"/>
    <xf numFmtId="39" fontId="3" fillId="4" borderId="1" xfId="0" applyNumberFormat="1" applyFont="1" applyFill="1" applyBorder="1"/>
    <xf numFmtId="43" fontId="7" fillId="0" borderId="1" xfId="1" applyFont="1" applyBorder="1" applyAlignment="1">
      <alignment horizontal="right"/>
    </xf>
    <xf numFmtId="43" fontId="7" fillId="0" borderId="1" xfId="1" applyFont="1" applyFill="1" applyBorder="1" applyAlignment="1">
      <alignment horizontal="right"/>
    </xf>
    <xf numFmtId="165" fontId="7" fillId="0" borderId="1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horizontal="right"/>
    </xf>
    <xf numFmtId="165" fontId="7" fillId="0" borderId="1" xfId="0" applyNumberFormat="1" applyFont="1" applyBorder="1" applyAlignment="1">
      <alignment horizontal="right" wrapText="1"/>
    </xf>
    <xf numFmtId="39" fontId="16" fillId="0" borderId="1" xfId="0" applyNumberFormat="1" applyFont="1" applyBorder="1" applyAlignment="1">
      <alignment horizontal="right"/>
    </xf>
    <xf numFmtId="39" fontId="9" fillId="3" borderId="1" xfId="0" applyNumberFormat="1" applyFont="1" applyFill="1" applyBorder="1"/>
    <xf numFmtId="39" fontId="7" fillId="3" borderId="1" xfId="0" applyNumberFormat="1" applyFont="1" applyFill="1" applyBorder="1" applyAlignment="1">
      <alignment horizontal="right"/>
    </xf>
    <xf numFmtId="39" fontId="10" fillId="3" borderId="1" xfId="0" applyNumberFormat="1" applyFont="1" applyFill="1" applyBorder="1" applyAlignment="1">
      <alignment horizontal="right"/>
    </xf>
    <xf numFmtId="39" fontId="7" fillId="0" borderId="1" xfId="1" applyNumberFormat="1" applyFont="1" applyFill="1" applyBorder="1" applyAlignment="1"/>
    <xf numFmtId="39" fontId="7" fillId="0" borderId="1" xfId="0" applyNumberFormat="1" applyFont="1" applyBorder="1" applyAlignment="1">
      <alignment vertical="center" wrapText="1"/>
    </xf>
    <xf numFmtId="39" fontId="7" fillId="0" borderId="1" xfId="0" applyNumberFormat="1" applyFont="1" applyBorder="1" applyAlignment="1">
      <alignment horizontal="right" vertical="center"/>
    </xf>
    <xf numFmtId="39" fontId="7" fillId="0" borderId="1" xfId="0" applyNumberFormat="1" applyFont="1" applyBorder="1" applyAlignment="1">
      <alignment horizontal="right" vertical="center" wrapText="1"/>
    </xf>
    <xf numFmtId="39" fontId="7" fillId="0" borderId="1" xfId="0" applyNumberFormat="1" applyFont="1" applyBorder="1" applyAlignment="1">
      <alignment vertical="center"/>
    </xf>
    <xf numFmtId="39" fontId="10" fillId="0" borderId="1" xfId="0" applyNumberFormat="1" applyFont="1" applyBorder="1" applyAlignment="1">
      <alignment wrapText="1"/>
    </xf>
    <xf numFmtId="39" fontId="4" fillId="4" borderId="1" xfId="0" applyNumberFormat="1" applyFont="1" applyFill="1" applyBorder="1" applyAlignment="1">
      <alignment horizontal="right" wrapText="1"/>
    </xf>
    <xf numFmtId="39" fontId="5" fillId="4" borderId="1" xfId="0" applyNumberFormat="1" applyFont="1" applyFill="1" applyBorder="1"/>
    <xf numFmtId="39" fontId="7" fillId="3" borderId="1" xfId="0" applyNumberFormat="1" applyFont="1" applyFill="1" applyBorder="1" applyAlignment="1">
      <alignment wrapText="1"/>
    </xf>
    <xf numFmtId="39" fontId="7" fillId="3" borderId="1" xfId="0" applyNumberFormat="1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left" wrapText="1"/>
    </xf>
    <xf numFmtId="39" fontId="11" fillId="3" borderId="1" xfId="0" applyNumberFormat="1" applyFont="1" applyFill="1" applyBorder="1" applyAlignment="1">
      <alignment shrinkToFit="1"/>
    </xf>
    <xf numFmtId="39" fontId="11" fillId="3" borderId="1" xfId="0" applyNumberFormat="1" applyFont="1" applyFill="1" applyBorder="1" applyAlignment="1">
      <alignment horizontal="right"/>
    </xf>
    <xf numFmtId="39" fontId="11" fillId="3" borderId="1" xfId="0" applyNumberFormat="1" applyFont="1" applyFill="1" applyBorder="1" applyAlignment="1">
      <alignment horizontal="right" wrapText="1"/>
    </xf>
    <xf numFmtId="39" fontId="12" fillId="3" borderId="1" xfId="0" applyNumberFormat="1" applyFont="1" applyFill="1" applyBorder="1"/>
    <xf numFmtId="39" fontId="7" fillId="3" borderId="1" xfId="2" applyNumberFormat="1" applyFont="1" applyFill="1" applyBorder="1" applyAlignment="1">
      <alignment wrapText="1"/>
    </xf>
    <xf numFmtId="39" fontId="16" fillId="3" borderId="1" xfId="2" applyNumberFormat="1" applyFont="1" applyFill="1" applyBorder="1" applyAlignment="1">
      <alignment horizontal="right"/>
    </xf>
    <xf numFmtId="39" fontId="7" fillId="3" borderId="1" xfId="2" applyNumberFormat="1" applyFont="1" applyFill="1" applyBorder="1" applyAlignment="1">
      <alignment horizontal="right"/>
    </xf>
    <xf numFmtId="39" fontId="7" fillId="3" borderId="1" xfId="2" applyNumberFormat="1" applyFont="1" applyFill="1" applyBorder="1" applyAlignment="1">
      <alignment horizontal="right" wrapText="1"/>
    </xf>
    <xf numFmtId="39" fontId="7" fillId="3" borderId="1" xfId="2" applyNumberFormat="1" applyFont="1" applyFill="1" applyBorder="1" applyAlignment="1"/>
    <xf numFmtId="39" fontId="10" fillId="3" borderId="1" xfId="2" applyNumberFormat="1" applyFont="1" applyFill="1" applyBorder="1" applyAlignment="1"/>
    <xf numFmtId="0" fontId="7" fillId="3" borderId="1" xfId="2" applyNumberFormat="1" applyFont="1" applyFill="1" applyBorder="1" applyAlignment="1">
      <alignment horizontal="left" wrapText="1" indent="1"/>
    </xf>
    <xf numFmtId="39" fontId="7" fillId="4" borderId="1" xfId="0" applyNumberFormat="1" applyFont="1" applyFill="1" applyBorder="1" applyAlignment="1">
      <alignment horizontal="right"/>
    </xf>
    <xf numFmtId="39" fontId="7" fillId="4" borderId="1" xfId="0" applyNumberFormat="1" applyFont="1" applyFill="1" applyBorder="1" applyAlignment="1">
      <alignment horizontal="right" wrapText="1"/>
    </xf>
    <xf numFmtId="39" fontId="4" fillId="3" borderId="1" xfId="0" applyNumberFormat="1" applyFont="1" applyFill="1" applyBorder="1" applyAlignment="1">
      <alignment wrapText="1"/>
    </xf>
    <xf numFmtId="39" fontId="11" fillId="3" borderId="1" xfId="0" applyNumberFormat="1" applyFont="1" applyFill="1" applyBorder="1" applyAlignment="1">
      <alignment wrapText="1"/>
    </xf>
    <xf numFmtId="39" fontId="11" fillId="4" borderId="1" xfId="0" applyNumberFormat="1" applyFont="1" applyFill="1" applyBorder="1"/>
    <xf numFmtId="39" fontId="11" fillId="4" borderId="1" xfId="0" applyNumberFormat="1" applyFont="1" applyFill="1" applyBorder="1" applyAlignment="1">
      <alignment horizontal="right"/>
    </xf>
    <xf numFmtId="39" fontId="11" fillId="4" borderId="1" xfId="0" applyNumberFormat="1" applyFont="1" applyFill="1" applyBorder="1" applyAlignment="1">
      <alignment horizontal="right" wrapText="1"/>
    </xf>
    <xf numFmtId="39" fontId="12" fillId="4" borderId="1" xfId="0" applyNumberFormat="1" applyFont="1" applyFill="1" applyBorder="1"/>
    <xf numFmtId="39" fontId="7" fillId="3" borderId="1" xfId="0" applyNumberFormat="1" applyFont="1" applyFill="1" applyBorder="1" applyAlignment="1">
      <alignment horizontal="left" wrapText="1"/>
    </xf>
    <xf numFmtId="39" fontId="7" fillId="0" borderId="1" xfId="2" applyNumberFormat="1" applyFont="1" applyFill="1" applyBorder="1" applyAlignment="1">
      <alignment wrapText="1"/>
    </xf>
    <xf numFmtId="39" fontId="16" fillId="0" borderId="1" xfId="2" applyNumberFormat="1" applyFont="1" applyFill="1" applyBorder="1" applyAlignment="1">
      <alignment horizontal="right"/>
    </xf>
    <xf numFmtId="39" fontId="7" fillId="0" borderId="1" xfId="2" applyNumberFormat="1" applyFont="1" applyFill="1" applyBorder="1" applyAlignment="1">
      <alignment horizontal="right"/>
    </xf>
    <xf numFmtId="39" fontId="7" fillId="0" borderId="1" xfId="2" applyNumberFormat="1" applyFont="1" applyFill="1" applyBorder="1" applyAlignment="1">
      <alignment horizontal="right" wrapText="1"/>
    </xf>
    <xf numFmtId="39" fontId="7" fillId="0" borderId="1" xfId="2" applyNumberFormat="1" applyFont="1" applyFill="1" applyBorder="1" applyAlignment="1"/>
    <xf numFmtId="39" fontId="4" fillId="4" borderId="1" xfId="2" applyNumberFormat="1" applyFont="1" applyFill="1" applyBorder="1" applyAlignment="1">
      <alignment wrapText="1"/>
    </xf>
    <xf numFmtId="39" fontId="16" fillId="4" borderId="1" xfId="2" applyNumberFormat="1" applyFont="1" applyFill="1" applyBorder="1" applyAlignment="1">
      <alignment horizontal="right"/>
    </xf>
    <xf numFmtId="39" fontId="7" fillId="4" borderId="1" xfId="2" applyNumberFormat="1" applyFont="1" applyFill="1" applyBorder="1" applyAlignment="1">
      <alignment horizontal="right"/>
    </xf>
    <xf numFmtId="39" fontId="7" fillId="4" borderId="1" xfId="2" applyNumberFormat="1" applyFont="1" applyFill="1" applyBorder="1" applyAlignment="1">
      <alignment horizontal="right" wrapText="1"/>
    </xf>
    <xf numFmtId="39" fontId="7" fillId="4" borderId="1" xfId="2" applyNumberFormat="1" applyFont="1" applyFill="1" applyBorder="1" applyAlignment="1"/>
    <xf numFmtId="39" fontId="4" fillId="4" borderId="1" xfId="2" applyNumberFormat="1" applyFont="1" applyFill="1" applyBorder="1" applyAlignment="1"/>
    <xf numFmtId="39" fontId="3" fillId="4" borderId="1" xfId="2" applyNumberFormat="1" applyFont="1" applyFill="1" applyBorder="1" applyAlignment="1"/>
    <xf numFmtId="39" fontId="4" fillId="0" borderId="1" xfId="0" applyNumberFormat="1" applyFont="1" applyBorder="1" applyAlignment="1">
      <alignment horizontal="right" wrapText="1"/>
    </xf>
    <xf numFmtId="39" fontId="4" fillId="4" borderId="1" xfId="0" applyNumberFormat="1" applyFont="1" applyFill="1" applyBorder="1" applyAlignment="1">
      <alignment shrinkToFit="1"/>
    </xf>
    <xf numFmtId="39" fontId="4" fillId="0" borderId="1" xfId="0" applyNumberFormat="1" applyFont="1" applyBorder="1"/>
    <xf numFmtId="39" fontId="3" fillId="3" borderId="1" xfId="0" applyNumberFormat="1" applyFont="1" applyFill="1" applyBorder="1"/>
    <xf numFmtId="39" fontId="5" fillId="4" borderId="1" xfId="0" applyNumberFormat="1" applyFont="1" applyFill="1" applyBorder="1" applyAlignment="1">
      <alignment horizontal="right"/>
    </xf>
    <xf numFmtId="39" fontId="4" fillId="3" borderId="1" xfId="0" applyNumberFormat="1" applyFont="1" applyFill="1" applyBorder="1" applyAlignment="1">
      <alignment horizontal="right"/>
    </xf>
    <xf numFmtId="39" fontId="4" fillId="3" borderId="1" xfId="0" applyNumberFormat="1" applyFont="1" applyFill="1" applyBorder="1"/>
    <xf numFmtId="39" fontId="17" fillId="0" borderId="1" xfId="0" applyNumberFormat="1" applyFont="1" applyBorder="1" applyAlignment="1">
      <alignment horizontal="right"/>
    </xf>
    <xf numFmtId="39" fontId="17" fillId="0" borderId="1" xfId="0" applyNumberFormat="1" applyFont="1" applyBorder="1" applyAlignment="1">
      <alignment horizontal="right" wrapText="1"/>
    </xf>
    <xf numFmtId="39" fontId="11" fillId="0" borderId="1" xfId="0" applyNumberFormat="1" applyFont="1" applyBorder="1" applyAlignment="1">
      <alignment shrinkToFit="1"/>
    </xf>
    <xf numFmtId="39" fontId="7" fillId="0" borderId="1" xfId="0" applyNumberFormat="1" applyFont="1" applyBorder="1" applyAlignment="1">
      <alignment horizontal="left" wrapText="1" indent="1"/>
    </xf>
    <xf numFmtId="39" fontId="11" fillId="0" borderId="1" xfId="0" applyNumberFormat="1" applyFont="1" applyBorder="1" applyAlignment="1">
      <alignment horizontal="left" wrapText="1" indent="1"/>
    </xf>
    <xf numFmtId="39" fontId="7" fillId="0" borderId="1" xfId="0" applyNumberFormat="1" applyFont="1" applyBorder="1" applyAlignment="1">
      <alignment horizontal="right" indent="1"/>
    </xf>
    <xf numFmtId="39" fontId="11" fillId="0" borderId="1" xfId="0" applyNumberFormat="1" applyFont="1" applyBorder="1" applyAlignment="1">
      <alignment horizontal="right" indent="1"/>
    </xf>
    <xf numFmtId="39" fontId="18" fillId="0" borderId="1" xfId="0" applyNumberFormat="1" applyFont="1" applyBorder="1" applyAlignment="1">
      <alignment horizontal="right" indent="1"/>
    </xf>
    <xf numFmtId="39" fontId="18" fillId="0" borderId="1" xfId="0" applyNumberFormat="1" applyFont="1" applyBorder="1" applyAlignment="1">
      <alignment horizontal="right" wrapText="1"/>
    </xf>
    <xf numFmtId="39" fontId="18" fillId="0" borderId="1" xfId="0" applyNumberFormat="1" applyFont="1" applyBorder="1"/>
    <xf numFmtId="39" fontId="19" fillId="3" borderId="1" xfId="0" applyNumberFormat="1" applyFont="1" applyFill="1" applyBorder="1"/>
    <xf numFmtId="39" fontId="16" fillId="0" borderId="1" xfId="0" applyNumberFormat="1" applyFont="1" applyBorder="1" applyAlignment="1">
      <alignment horizontal="right" wrapText="1"/>
    </xf>
    <xf numFmtId="39" fontId="17" fillId="0" borderId="1" xfId="0" applyNumberFormat="1" applyFont="1" applyBorder="1" applyAlignment="1">
      <alignment wrapText="1"/>
    </xf>
    <xf numFmtId="39" fontId="9" fillId="0" borderId="1" xfId="0" applyNumberFormat="1" applyFont="1" applyBorder="1" applyAlignment="1">
      <alignment wrapText="1"/>
    </xf>
    <xf numFmtId="39" fontId="9" fillId="3" borderId="1" xfId="0" applyNumberFormat="1" applyFont="1" applyFill="1" applyBorder="1" applyAlignment="1">
      <alignment wrapText="1"/>
    </xf>
    <xf numFmtId="39" fontId="9" fillId="5" borderId="1" xfId="0" applyNumberFormat="1" applyFont="1" applyFill="1" applyBorder="1" applyAlignment="1">
      <alignment wrapText="1"/>
    </xf>
    <xf numFmtId="39" fontId="12" fillId="0" borderId="1" xfId="0" applyNumberFormat="1" applyFont="1" applyBorder="1" applyAlignment="1">
      <alignment wrapText="1"/>
    </xf>
    <xf numFmtId="39" fontId="5" fillId="0" borderId="1" xfId="0" applyNumberFormat="1" applyFont="1" applyBorder="1"/>
    <xf numFmtId="39" fontId="7" fillId="6" borderId="1" xfId="0" applyNumberFormat="1" applyFont="1" applyFill="1" applyBorder="1"/>
    <xf numFmtId="166" fontId="9" fillId="0" borderId="1" xfId="0" applyNumberFormat="1" applyFont="1" applyBorder="1"/>
    <xf numFmtId="39" fontId="7" fillId="0" borderId="2" xfId="0" applyNumberFormat="1" applyFont="1" applyBorder="1"/>
    <xf numFmtId="39" fontId="7" fillId="0" borderId="1" xfId="0" applyNumberFormat="1" applyFont="1" applyBorder="1" applyAlignment="1">
      <alignment wrapText="1" shrinkToFit="1"/>
    </xf>
    <xf numFmtId="39" fontId="10" fillId="3" borderId="8" xfId="0" applyNumberFormat="1" applyFont="1" applyFill="1" applyBorder="1"/>
    <xf numFmtId="39" fontId="10" fillId="3" borderId="3" xfId="0" applyNumberFormat="1" applyFont="1" applyFill="1" applyBorder="1" applyAlignment="1">
      <alignment horizontal="left"/>
    </xf>
    <xf numFmtId="39" fontId="3" fillId="3" borderId="7" xfId="0" applyNumberFormat="1" applyFont="1" applyFill="1" applyBorder="1"/>
    <xf numFmtId="39" fontId="7" fillId="3" borderId="0" xfId="0" applyNumberFormat="1" applyFont="1" applyFill="1"/>
    <xf numFmtId="39" fontId="5" fillId="6" borderId="1" xfId="0" applyNumberFormat="1" applyFont="1" applyFill="1" applyBorder="1"/>
    <xf numFmtId="39" fontId="4" fillId="6" borderId="1" xfId="0" applyNumberFormat="1" applyFont="1" applyFill="1" applyBorder="1"/>
    <xf numFmtId="39" fontId="7" fillId="0" borderId="0" xfId="0" applyNumberFormat="1" applyFont="1" applyBorder="1" applyAlignment="1">
      <alignment wrapText="1"/>
    </xf>
    <xf numFmtId="39" fontId="8" fillId="0" borderId="0" xfId="0" applyNumberFormat="1" applyFont="1" applyBorder="1" applyAlignment="1">
      <alignment horizontal="right"/>
    </xf>
    <xf numFmtId="39" fontId="7" fillId="0" borderId="0" xfId="0" applyNumberFormat="1" applyFont="1" applyBorder="1" applyAlignment="1">
      <alignment horizontal="right"/>
    </xf>
    <xf numFmtId="39" fontId="8" fillId="0" borderId="0" xfId="0" applyNumberFormat="1" applyFont="1" applyBorder="1" applyAlignment="1">
      <alignment horizontal="right" wrapText="1"/>
    </xf>
    <xf numFmtId="39" fontId="9" fillId="0" borderId="0" xfId="0" applyNumberFormat="1" applyFont="1" applyBorder="1"/>
    <xf numFmtId="39" fontId="7" fillId="0" borderId="0" xfId="0" applyNumberFormat="1" applyFont="1" applyBorder="1"/>
    <xf numFmtId="39" fontId="10" fillId="3" borderId="0" xfId="0" applyNumberFormat="1" applyFont="1" applyFill="1" applyBorder="1"/>
    <xf numFmtId="39" fontId="7" fillId="0" borderId="8" xfId="0" applyNumberFormat="1" applyFont="1" applyBorder="1" applyAlignment="1">
      <alignment wrapText="1"/>
    </xf>
    <xf numFmtId="39" fontId="8" fillId="0" borderId="8" xfId="0" applyNumberFormat="1" applyFont="1" applyBorder="1" applyAlignment="1">
      <alignment horizontal="right"/>
    </xf>
    <xf numFmtId="39" fontId="7" fillId="0" borderId="8" xfId="0" applyNumberFormat="1" applyFont="1" applyBorder="1" applyAlignment="1">
      <alignment horizontal="right"/>
    </xf>
    <xf numFmtId="39" fontId="8" fillId="0" borderId="8" xfId="0" applyNumberFormat="1" applyFont="1" applyBorder="1" applyAlignment="1">
      <alignment horizontal="right" wrapText="1"/>
    </xf>
    <xf numFmtId="39" fontId="9" fillId="0" borderId="8" xfId="0" applyNumberFormat="1" applyFont="1" applyBorder="1"/>
    <xf numFmtId="39" fontId="7" fillId="0" borderId="8" xfId="0" applyNumberFormat="1" applyFont="1" applyBorder="1"/>
    <xf numFmtId="39" fontId="7" fillId="0" borderId="3" xfId="0" applyNumberFormat="1" applyFont="1" applyBorder="1" applyAlignment="1">
      <alignment wrapText="1"/>
    </xf>
    <xf numFmtId="39" fontId="8" fillId="0" borderId="3" xfId="0" applyNumberFormat="1" applyFont="1" applyBorder="1" applyAlignment="1">
      <alignment horizontal="right"/>
    </xf>
    <xf numFmtId="39" fontId="7" fillId="0" borderId="3" xfId="0" applyNumberFormat="1" applyFont="1" applyBorder="1" applyAlignment="1">
      <alignment horizontal="right"/>
    </xf>
    <xf numFmtId="39" fontId="8" fillId="0" borderId="3" xfId="0" applyNumberFormat="1" applyFont="1" applyBorder="1" applyAlignment="1">
      <alignment horizontal="right" wrapText="1"/>
    </xf>
    <xf numFmtId="39" fontId="9" fillId="0" borderId="3" xfId="0" applyNumberFormat="1" applyFont="1" applyBorder="1"/>
    <xf numFmtId="39" fontId="7" fillId="0" borderId="3" xfId="0" applyNumberFormat="1" applyFont="1" applyBorder="1"/>
    <xf numFmtId="39" fontId="10" fillId="3" borderId="3" xfId="0" applyNumberFormat="1" applyFont="1" applyFill="1" applyBorder="1"/>
    <xf numFmtId="39" fontId="7" fillId="7" borderId="8" xfId="0" applyNumberFormat="1" applyFont="1" applyFill="1" applyBorder="1"/>
    <xf numFmtId="39" fontId="10" fillId="7" borderId="8" xfId="0" applyNumberFormat="1" applyFont="1" applyFill="1" applyBorder="1"/>
    <xf numFmtId="39" fontId="4" fillId="0" borderId="7" xfId="0" applyNumberFormat="1" applyFont="1" applyBorder="1" applyAlignment="1">
      <alignment horizontal="center"/>
    </xf>
    <xf numFmtId="39" fontId="4" fillId="0" borderId="7" xfId="0" applyNumberFormat="1" applyFont="1" applyBorder="1" applyAlignment="1">
      <alignment horizontal="center" wrapText="1"/>
    </xf>
    <xf numFmtId="39" fontId="3" fillId="3" borderId="7" xfId="0" applyNumberFormat="1" applyFont="1" applyFill="1" applyBorder="1" applyAlignment="1">
      <alignment horizontal="center" wrapText="1"/>
    </xf>
    <xf numFmtId="39" fontId="21" fillId="0" borderId="3" xfId="0" applyNumberFormat="1" applyFont="1" applyBorder="1" applyAlignment="1">
      <alignment wrapText="1"/>
    </xf>
    <xf numFmtId="39" fontId="4" fillId="0" borderId="3" xfId="0" applyNumberFormat="1" applyFont="1" applyBorder="1" applyAlignment="1">
      <alignment horizontal="center"/>
    </xf>
    <xf numFmtId="39" fontId="6" fillId="0" borderId="3" xfId="0" applyNumberFormat="1" applyFont="1" applyBorder="1" applyAlignment="1">
      <alignment horizontal="center" wrapText="1"/>
    </xf>
    <xf numFmtId="39" fontId="3" fillId="3" borderId="3" xfId="0" applyNumberFormat="1" applyFont="1" applyFill="1" applyBorder="1" applyAlignment="1">
      <alignment horizontal="center" wrapText="1"/>
    </xf>
    <xf numFmtId="39" fontId="4" fillId="0" borderId="7" xfId="0" applyNumberFormat="1" applyFont="1" applyBorder="1" applyAlignment="1">
      <alignment wrapText="1"/>
    </xf>
    <xf numFmtId="39" fontId="4" fillId="0" borderId="7" xfId="0" applyNumberFormat="1" applyFont="1" applyBorder="1" applyAlignment="1">
      <alignment horizontal="right"/>
    </xf>
    <xf numFmtId="164" fontId="4" fillId="0" borderId="7" xfId="0" quotePrefix="1" applyNumberFormat="1" applyFont="1" applyBorder="1" applyAlignment="1">
      <alignment horizontal="center" wrapText="1"/>
    </xf>
    <xf numFmtId="39" fontId="5" fillId="0" borderId="7" xfId="0" applyNumberFormat="1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39" fontId="4" fillId="0" borderId="7" xfId="0" applyNumberFormat="1" applyFont="1" applyBorder="1"/>
    <xf numFmtId="39" fontId="3" fillId="8" borderId="1" xfId="0" applyNumberFormat="1" applyFont="1" applyFill="1" applyBorder="1"/>
    <xf numFmtId="0" fontId="0" fillId="0" borderId="0" xfId="0" applyBorder="1"/>
    <xf numFmtId="39" fontId="4" fillId="0" borderId="8" xfId="0" applyNumberFormat="1" applyFont="1" applyBorder="1" applyAlignment="1">
      <alignment wrapText="1"/>
    </xf>
    <xf numFmtId="39" fontId="4" fillId="0" borderId="8" xfId="0" applyNumberFormat="1" applyFont="1" applyBorder="1" applyAlignment="1">
      <alignment horizontal="right"/>
    </xf>
    <xf numFmtId="39" fontId="4" fillId="0" borderId="8" xfId="0" applyNumberFormat="1" applyFont="1" applyBorder="1" applyAlignment="1">
      <alignment horizontal="right" wrapText="1"/>
    </xf>
    <xf numFmtId="39" fontId="4" fillId="0" borderId="3" xfId="0" applyNumberFormat="1" applyFont="1" applyBorder="1" applyAlignment="1">
      <alignment wrapText="1"/>
    </xf>
    <xf numFmtId="39" fontId="4" fillId="0" borderId="3" xfId="0" applyNumberFormat="1" applyFont="1" applyBorder="1" applyAlignment="1">
      <alignment horizontal="right"/>
    </xf>
    <xf numFmtId="39" fontId="4" fillId="0" borderId="3" xfId="0" applyNumberFormat="1" applyFont="1" applyBorder="1" applyAlignment="1">
      <alignment horizontal="right" wrapText="1"/>
    </xf>
    <xf numFmtId="39" fontId="4" fillId="0" borderId="3" xfId="0" applyNumberFormat="1" applyFont="1" applyBorder="1"/>
    <xf numFmtId="39" fontId="3" fillId="3" borderId="3" xfId="0" applyNumberFormat="1" applyFont="1" applyFill="1" applyBorder="1"/>
    <xf numFmtId="39" fontId="5" fillId="0" borderId="8" xfId="0" applyNumberFormat="1" applyFont="1" applyBorder="1"/>
    <xf numFmtId="39" fontId="7" fillId="3" borderId="8" xfId="0" applyNumberFormat="1" applyFont="1" applyFill="1" applyBorder="1"/>
    <xf numFmtId="0" fontId="7" fillId="0" borderId="1" xfId="1" applyNumberFormat="1" applyFont="1" applyFill="1" applyBorder="1" applyAlignment="1">
      <alignment horizontal="left" wrapText="1" indent="1"/>
    </xf>
  </cellXfs>
  <cellStyles count="3">
    <cellStyle name="Comma" xfId="1" builtinId="3"/>
    <cellStyle name="Good" xfId="2" builtinId="2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effersoncountylibrarydistr.sharepoint.com/sites/BudgetandAccounting-2026-2027OperatingBudget/Shared%20Documents/2026-2027%20Operating%20Budget/2026-2027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aries"/>
    </sheetNames>
    <sheetDataSet>
      <sheetData sheetId="0"/>
    </sheetDataSet>
  </externalBook>
</externalLink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10</v>
    <v>2</v>
  </rv>
  <rv s="1">
    <v>10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80"/>
  <sheetViews>
    <sheetView tabSelected="1" workbookViewId="0">
      <selection activeCell="A357" sqref="A357"/>
    </sheetView>
  </sheetViews>
  <sheetFormatPr defaultRowHeight="14.25"/>
  <cols>
    <col min="1" max="1" width="34" customWidth="1"/>
    <col min="2" max="11" width="0" hidden="1" customWidth="1"/>
    <col min="12" max="12" width="13.375" customWidth="1"/>
    <col min="13" max="14" width="0" hidden="1" customWidth="1"/>
    <col min="15" max="15" width="13.25" customWidth="1"/>
    <col min="16" max="17" width="0" hidden="1" customWidth="1"/>
    <col min="18" max="18" width="12.25" customWidth="1"/>
    <col min="19" max="19" width="12.75" customWidth="1"/>
    <col min="20" max="20" width="14.25" customWidth="1"/>
  </cols>
  <sheetData>
    <row r="1" spans="1:20" ht="38.25">
      <c r="A1" s="1" t="s">
        <v>0</v>
      </c>
      <c r="B1" s="2" t="s">
        <v>1</v>
      </c>
      <c r="C1" s="3" t="s">
        <v>1</v>
      </c>
      <c r="D1" s="3" t="s">
        <v>1</v>
      </c>
      <c r="E1" s="3" t="s">
        <v>2</v>
      </c>
      <c r="F1" s="4" t="s">
        <v>3</v>
      </c>
      <c r="G1" s="5" t="s">
        <v>4</v>
      </c>
      <c r="H1" s="3" t="s">
        <v>2</v>
      </c>
      <c r="I1" s="3" t="s">
        <v>3</v>
      </c>
      <c r="J1" s="3" t="s">
        <v>2</v>
      </c>
      <c r="K1" s="3" t="s">
        <v>1</v>
      </c>
      <c r="L1" s="3" t="s">
        <v>1</v>
      </c>
      <c r="M1" s="3" t="s">
        <v>2</v>
      </c>
      <c r="N1" s="3" t="s">
        <v>2</v>
      </c>
      <c r="O1" s="3" t="s">
        <v>1</v>
      </c>
      <c r="P1" s="6" t="s">
        <v>5</v>
      </c>
      <c r="Q1" s="4" t="s">
        <v>6</v>
      </c>
      <c r="R1" s="7" t="s">
        <v>7</v>
      </c>
      <c r="S1" s="8" t="s">
        <v>6</v>
      </c>
      <c r="T1" s="9" t="s">
        <v>8</v>
      </c>
    </row>
    <row r="2" spans="1:20">
      <c r="A2" s="10"/>
      <c r="B2" s="2" t="s">
        <v>9</v>
      </c>
      <c r="C2" s="3" t="s">
        <v>10</v>
      </c>
      <c r="D2" s="3" t="s">
        <v>11</v>
      </c>
      <c r="E2" s="3" t="s">
        <v>12</v>
      </c>
      <c r="F2" s="11">
        <v>44742</v>
      </c>
      <c r="G2" s="5" t="s">
        <v>2</v>
      </c>
      <c r="H2" s="3" t="s">
        <v>13</v>
      </c>
      <c r="I2" s="12">
        <v>45107</v>
      </c>
      <c r="J2" s="3" t="s">
        <v>14</v>
      </c>
      <c r="K2" s="3" t="s">
        <v>14</v>
      </c>
      <c r="L2" s="3" t="s">
        <v>15</v>
      </c>
      <c r="M2" s="3" t="s">
        <v>15</v>
      </c>
      <c r="N2" s="4" t="s">
        <v>16</v>
      </c>
      <c r="O2" s="4" t="s">
        <v>16</v>
      </c>
      <c r="P2" s="4" t="s">
        <v>16</v>
      </c>
      <c r="Q2" s="13"/>
      <c r="R2" s="4" t="s">
        <v>17</v>
      </c>
      <c r="S2" s="14"/>
      <c r="T2" s="15" t="s">
        <v>18</v>
      </c>
    </row>
    <row r="3" spans="1:20">
      <c r="A3" s="16"/>
      <c r="B3" s="17"/>
      <c r="C3" s="17"/>
      <c r="D3" s="17"/>
      <c r="E3" s="18"/>
      <c r="F3" s="19"/>
      <c r="G3" s="20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1"/>
    </row>
    <row r="4" spans="1:20">
      <c r="A4" s="10" t="s">
        <v>19</v>
      </c>
      <c r="B4" s="17"/>
      <c r="C4" s="17"/>
      <c r="D4" s="17"/>
      <c r="E4" s="18"/>
      <c r="F4" s="19"/>
      <c r="G4" s="2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22"/>
    </row>
    <row r="5" spans="1:20">
      <c r="A5" s="16"/>
      <c r="B5" s="17"/>
      <c r="C5" s="17"/>
      <c r="D5" s="17"/>
      <c r="E5" s="18"/>
      <c r="F5" s="19"/>
      <c r="G5" s="20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22"/>
    </row>
    <row r="6" spans="1:20" ht="25.5">
      <c r="A6" s="16" t="s">
        <v>20</v>
      </c>
      <c r="B6" s="18">
        <v>501303.33</v>
      </c>
      <c r="C6" s="18">
        <v>485625.81</v>
      </c>
      <c r="D6" s="18"/>
      <c r="E6" s="18">
        <v>588581.68999999994</v>
      </c>
      <c r="F6" s="23">
        <v>1192093</v>
      </c>
      <c r="G6" s="20">
        <f>SUM(H6-F6)</f>
        <v>189008</v>
      </c>
      <c r="H6" s="13">
        <v>1381101</v>
      </c>
      <c r="I6" s="13"/>
      <c r="J6" s="13">
        <v>1381101</v>
      </c>
      <c r="K6" s="13">
        <v>902506</v>
      </c>
      <c r="L6" s="13">
        <v>845407</v>
      </c>
      <c r="M6" s="13">
        <v>815318</v>
      </c>
      <c r="N6" s="13">
        <v>859837.74</v>
      </c>
      <c r="O6" s="13">
        <v>843714</v>
      </c>
      <c r="P6" s="13">
        <v>877553</v>
      </c>
      <c r="Q6" s="13">
        <f>SUM(R6-P6)</f>
        <v>-44258</v>
      </c>
      <c r="R6" s="24">
        <v>833295</v>
      </c>
      <c r="S6" s="13">
        <f>SUM(T6-R6)</f>
        <v>-23813</v>
      </c>
      <c r="T6" s="22">
        <v>809482</v>
      </c>
    </row>
    <row r="7" spans="1:20">
      <c r="A7" s="16" t="s">
        <v>21</v>
      </c>
      <c r="B7" s="18">
        <v>7815</v>
      </c>
      <c r="C7" s="18">
        <v>4500</v>
      </c>
      <c r="D7" s="18">
        <v>11998</v>
      </c>
      <c r="E7" s="18">
        <v>75000</v>
      </c>
      <c r="F7" s="23">
        <v>111936</v>
      </c>
      <c r="G7" s="20">
        <f>SUM(H7-F7)</f>
        <v>88064</v>
      </c>
      <c r="H7" s="13">
        <v>200000</v>
      </c>
      <c r="I7" s="13">
        <v>171269.14</v>
      </c>
      <c r="J7" s="13">
        <v>200000</v>
      </c>
      <c r="K7" s="13">
        <v>162859.14000000001</v>
      </c>
      <c r="L7" s="13"/>
      <c r="M7" s="13">
        <v>200000</v>
      </c>
      <c r="N7" s="13">
        <v>0</v>
      </c>
      <c r="O7" s="13">
        <v>9998.09</v>
      </c>
      <c r="P7" s="13">
        <v>65000</v>
      </c>
      <c r="Q7" s="13">
        <f t="shared" ref="Q7:S37" si="0">SUM(R7-P7)</f>
        <v>25000</v>
      </c>
      <c r="R7" s="24">
        <v>90000</v>
      </c>
      <c r="S7" s="13">
        <f t="shared" si="0"/>
        <v>0</v>
      </c>
      <c r="T7" s="22">
        <v>90000</v>
      </c>
    </row>
    <row r="8" spans="1:20">
      <c r="A8" s="16"/>
      <c r="B8" s="18"/>
      <c r="C8" s="18"/>
      <c r="D8" s="18"/>
      <c r="E8" s="18"/>
      <c r="F8" s="23"/>
      <c r="G8" s="20"/>
      <c r="H8" s="13"/>
      <c r="I8" s="13"/>
      <c r="J8" s="13"/>
      <c r="K8" s="13"/>
      <c r="L8" s="13"/>
      <c r="M8" s="13"/>
      <c r="N8" s="13"/>
      <c r="O8" s="13"/>
      <c r="P8" s="13"/>
      <c r="Q8" s="13"/>
      <c r="R8" s="24"/>
      <c r="S8" s="13"/>
      <c r="T8" s="22"/>
    </row>
    <row r="9" spans="1:20">
      <c r="A9" s="25" t="s">
        <v>22</v>
      </c>
      <c r="B9" s="18"/>
      <c r="C9" s="18"/>
      <c r="D9" s="18"/>
      <c r="E9" s="18"/>
      <c r="F9" s="23"/>
      <c r="G9" s="20"/>
      <c r="H9" s="13"/>
      <c r="I9" s="13"/>
      <c r="J9" s="13">
        <v>0</v>
      </c>
      <c r="K9" s="13"/>
      <c r="L9" s="13">
        <v>33494</v>
      </c>
      <c r="M9" s="13">
        <v>29000</v>
      </c>
      <c r="N9" s="13">
        <v>20500</v>
      </c>
      <c r="O9" s="13">
        <v>19838.05</v>
      </c>
      <c r="P9" s="13">
        <v>20500</v>
      </c>
      <c r="Q9" s="13">
        <f t="shared" si="0"/>
        <v>6500</v>
      </c>
      <c r="R9" s="24">
        <v>27000</v>
      </c>
      <c r="S9" s="13">
        <f t="shared" si="0"/>
        <v>2000</v>
      </c>
      <c r="T9" s="22">
        <v>29000</v>
      </c>
    </row>
    <row r="10" spans="1:20">
      <c r="A10" s="25" t="s">
        <v>23</v>
      </c>
      <c r="B10" s="18"/>
      <c r="C10" s="18"/>
      <c r="D10" s="18"/>
      <c r="E10" s="18"/>
      <c r="F10" s="23"/>
      <c r="G10" s="20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24"/>
      <c r="S10" s="13"/>
      <c r="T10" s="22">
        <v>10500</v>
      </c>
    </row>
    <row r="11" spans="1:20">
      <c r="A11" s="25" t="s">
        <v>24</v>
      </c>
      <c r="B11" s="18"/>
      <c r="C11" s="18"/>
      <c r="D11" s="18"/>
      <c r="E11" s="18"/>
      <c r="F11" s="23"/>
      <c r="G11" s="20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4"/>
      <c r="S11" s="13"/>
      <c r="T11" s="22">
        <v>10000</v>
      </c>
    </row>
    <row r="12" spans="1:20">
      <c r="A12" s="25" t="s">
        <v>25</v>
      </c>
      <c r="B12" s="18"/>
      <c r="C12" s="18"/>
      <c r="D12" s="18"/>
      <c r="E12" s="18"/>
      <c r="F12" s="23"/>
      <c r="G12" s="20"/>
      <c r="H12" s="13"/>
      <c r="I12" s="13"/>
      <c r="J12" s="13"/>
      <c r="K12" s="13"/>
      <c r="L12" s="13">
        <v>40055.25</v>
      </c>
      <c r="M12" s="13"/>
      <c r="N12" s="13">
        <v>15000</v>
      </c>
      <c r="O12" s="13">
        <v>19923.400000000001</v>
      </c>
      <c r="P12" s="13">
        <v>15369</v>
      </c>
      <c r="Q12" s="13">
        <f t="shared" si="0"/>
        <v>-15369</v>
      </c>
      <c r="R12" s="24">
        <v>0</v>
      </c>
      <c r="S12" s="13">
        <f t="shared" si="0"/>
        <v>0</v>
      </c>
      <c r="T12" s="22">
        <v>0</v>
      </c>
    </row>
    <row r="13" spans="1:20">
      <c r="A13" s="25" t="s">
        <v>26</v>
      </c>
      <c r="B13" s="18"/>
      <c r="C13" s="18"/>
      <c r="D13" s="18"/>
      <c r="E13" s="18"/>
      <c r="F13" s="23"/>
      <c r="G13" s="20"/>
      <c r="H13" s="13"/>
      <c r="I13" s="13"/>
      <c r="J13" s="13"/>
      <c r="K13" s="13"/>
      <c r="L13" s="13"/>
      <c r="M13" s="13"/>
      <c r="N13" s="13"/>
      <c r="O13" s="13">
        <v>14562</v>
      </c>
      <c r="P13" s="13">
        <v>14562</v>
      </c>
      <c r="Q13" s="13">
        <f t="shared" si="0"/>
        <v>-14562</v>
      </c>
      <c r="R13" s="24">
        <v>0</v>
      </c>
      <c r="S13" s="13">
        <f t="shared" si="0"/>
        <v>0</v>
      </c>
      <c r="T13" s="22">
        <v>0</v>
      </c>
    </row>
    <row r="14" spans="1:20">
      <c r="A14" s="25" t="s">
        <v>27</v>
      </c>
      <c r="B14" s="18"/>
      <c r="C14" s="18"/>
      <c r="D14" s="18"/>
      <c r="E14" s="18"/>
      <c r="F14" s="23"/>
      <c r="G14" s="20"/>
      <c r="H14" s="13"/>
      <c r="I14" s="13"/>
      <c r="J14" s="13"/>
      <c r="K14" s="13"/>
      <c r="L14" s="13"/>
      <c r="M14" s="13"/>
      <c r="N14" s="13"/>
      <c r="O14" s="13">
        <v>10015</v>
      </c>
      <c r="P14" s="13">
        <v>10000</v>
      </c>
      <c r="Q14" s="13">
        <f t="shared" si="0"/>
        <v>-10000</v>
      </c>
      <c r="R14" s="24">
        <v>0</v>
      </c>
      <c r="S14" s="13">
        <f t="shared" si="0"/>
        <v>0</v>
      </c>
      <c r="T14" s="22">
        <v>0</v>
      </c>
    </row>
    <row r="15" spans="1:20">
      <c r="A15" s="25" t="s">
        <v>28</v>
      </c>
      <c r="B15" s="18"/>
      <c r="C15" s="18"/>
      <c r="D15" s="18"/>
      <c r="E15" s="18"/>
      <c r="F15" s="23"/>
      <c r="G15" s="20"/>
      <c r="H15" s="13"/>
      <c r="I15" s="13"/>
      <c r="J15" s="13"/>
      <c r="K15" s="13"/>
      <c r="L15" s="13"/>
      <c r="M15" s="13"/>
      <c r="N15" s="13"/>
      <c r="O15" s="13">
        <v>50000</v>
      </c>
      <c r="P15" s="13">
        <v>50000</v>
      </c>
      <c r="Q15" s="13">
        <f t="shared" si="0"/>
        <v>-50000</v>
      </c>
      <c r="R15" s="24">
        <v>0</v>
      </c>
      <c r="S15" s="13">
        <f t="shared" si="0"/>
        <v>0</v>
      </c>
      <c r="T15" s="22">
        <v>0</v>
      </c>
    </row>
    <row r="16" spans="1:20">
      <c r="A16" s="16" t="s">
        <v>29</v>
      </c>
      <c r="B16" s="18">
        <v>7227</v>
      </c>
      <c r="C16" s="18">
        <v>7382</v>
      </c>
      <c r="D16" s="18"/>
      <c r="E16" s="18">
        <v>7382</v>
      </c>
      <c r="F16" s="23">
        <v>7903</v>
      </c>
      <c r="G16" s="20">
        <f>SUM(H16-F16)</f>
        <v>-257</v>
      </c>
      <c r="H16" s="13">
        <v>7646</v>
      </c>
      <c r="I16" s="13">
        <v>8410</v>
      </c>
      <c r="J16" s="13">
        <v>7900</v>
      </c>
      <c r="K16" s="13">
        <v>8410</v>
      </c>
      <c r="L16" s="13">
        <v>9002</v>
      </c>
      <c r="M16" s="13">
        <v>8400</v>
      </c>
      <c r="N16" s="13">
        <v>9002</v>
      </c>
      <c r="O16" s="13">
        <v>9038</v>
      </c>
      <c r="P16" s="13">
        <v>9038</v>
      </c>
      <c r="Q16" s="13">
        <f t="shared" si="0"/>
        <v>82</v>
      </c>
      <c r="R16" s="24">
        <v>9120</v>
      </c>
      <c r="S16" s="13">
        <f t="shared" si="0"/>
        <v>-120</v>
      </c>
      <c r="T16" s="22">
        <v>9000</v>
      </c>
    </row>
    <row r="17" spans="1:20">
      <c r="A17" s="16" t="s">
        <v>30</v>
      </c>
      <c r="B17" s="18"/>
      <c r="C17" s="18"/>
      <c r="D17" s="18"/>
      <c r="E17" s="18"/>
      <c r="F17" s="23"/>
      <c r="G17" s="20"/>
      <c r="H17" s="13"/>
      <c r="I17" s="13"/>
      <c r="J17" s="13"/>
      <c r="K17" s="13"/>
      <c r="L17" s="13">
        <v>7000</v>
      </c>
      <c r="M17" s="13">
        <v>7000</v>
      </c>
      <c r="N17" s="13"/>
      <c r="O17" s="13"/>
      <c r="P17" s="13"/>
      <c r="Q17" s="13"/>
      <c r="R17" s="24"/>
      <c r="S17" s="13"/>
      <c r="T17" s="22"/>
    </row>
    <row r="18" spans="1:20">
      <c r="A18" s="16" t="s">
        <v>31</v>
      </c>
      <c r="B18" s="18"/>
      <c r="C18" s="18"/>
      <c r="D18" s="18"/>
      <c r="E18" s="18"/>
      <c r="F18" s="23"/>
      <c r="G18" s="20"/>
      <c r="H18" s="13"/>
      <c r="I18" s="13"/>
      <c r="J18" s="13"/>
      <c r="K18" s="13"/>
      <c r="L18" s="13">
        <v>1000</v>
      </c>
      <c r="M18" s="13">
        <v>1000</v>
      </c>
      <c r="N18" s="13">
        <v>1000</v>
      </c>
      <c r="O18" s="13">
        <v>0</v>
      </c>
      <c r="P18" s="13">
        <v>1000</v>
      </c>
      <c r="Q18" s="13">
        <f t="shared" si="0"/>
        <v>-1000</v>
      </c>
      <c r="R18" s="24">
        <v>0</v>
      </c>
      <c r="S18" s="13">
        <f t="shared" si="0"/>
        <v>0</v>
      </c>
      <c r="T18" s="22">
        <v>0</v>
      </c>
    </row>
    <row r="19" spans="1:20">
      <c r="A19" s="16" t="s">
        <v>32</v>
      </c>
      <c r="B19" s="18"/>
      <c r="C19" s="18"/>
      <c r="D19" s="18"/>
      <c r="E19" s="18"/>
      <c r="F19" s="23"/>
      <c r="G19" s="20"/>
      <c r="H19" s="13"/>
      <c r="I19" s="13"/>
      <c r="J19" s="13"/>
      <c r="K19" s="13"/>
      <c r="L19" s="13">
        <v>2500</v>
      </c>
      <c r="M19" s="13">
        <v>2500</v>
      </c>
      <c r="N19" s="13"/>
      <c r="O19" s="13"/>
      <c r="P19" s="13"/>
      <c r="Q19" s="13"/>
      <c r="R19" s="24"/>
      <c r="S19" s="13"/>
      <c r="T19" s="22"/>
    </row>
    <row r="20" spans="1:20">
      <c r="A20" s="16" t="s">
        <v>33</v>
      </c>
      <c r="B20" s="18"/>
      <c r="C20" s="18"/>
      <c r="D20" s="18"/>
      <c r="E20" s="18"/>
      <c r="F20" s="23"/>
      <c r="G20" s="20"/>
      <c r="H20" s="13"/>
      <c r="I20" s="13"/>
      <c r="J20" s="13"/>
      <c r="K20" s="13"/>
      <c r="L20" s="13">
        <v>4000</v>
      </c>
      <c r="M20" s="13">
        <v>6000</v>
      </c>
      <c r="N20" s="13"/>
      <c r="O20" s="13">
        <v>2000</v>
      </c>
      <c r="P20" s="13"/>
      <c r="Q20" s="13"/>
      <c r="R20" s="24"/>
      <c r="S20" s="13"/>
      <c r="T20" s="22"/>
    </row>
    <row r="21" spans="1:20">
      <c r="A21" s="16" t="s">
        <v>34</v>
      </c>
      <c r="B21" s="18"/>
      <c r="C21" s="18"/>
      <c r="D21" s="18"/>
      <c r="E21" s="18"/>
      <c r="F21" s="23"/>
      <c r="G21" s="20"/>
      <c r="H21" s="13"/>
      <c r="I21" s="13"/>
      <c r="J21" s="13"/>
      <c r="K21" s="13"/>
      <c r="L21" s="13"/>
      <c r="M21" s="13">
        <v>0</v>
      </c>
      <c r="N21" s="13">
        <v>47025</v>
      </c>
      <c r="O21" s="13">
        <v>33279.19</v>
      </c>
      <c r="P21" s="13">
        <v>47025</v>
      </c>
      <c r="Q21" s="13">
        <f t="shared" si="0"/>
        <v>-47025</v>
      </c>
      <c r="R21" s="24">
        <v>0</v>
      </c>
      <c r="S21" s="13">
        <f t="shared" si="0"/>
        <v>0</v>
      </c>
      <c r="T21" s="22">
        <v>0</v>
      </c>
    </row>
    <row r="22" spans="1:20">
      <c r="A22" s="34" t="s">
        <v>35</v>
      </c>
      <c r="B22" s="18">
        <v>597130.12</v>
      </c>
      <c r="C22" s="18">
        <v>617849.94999999995</v>
      </c>
      <c r="D22" s="18">
        <v>651725.62</v>
      </c>
      <c r="E22" s="18">
        <v>616684</v>
      </c>
      <c r="F22" s="23">
        <v>716393</v>
      </c>
      <c r="G22" s="20">
        <f t="shared" ref="G22:G31" si="1">SUM(H22-F22)</f>
        <v>-25812</v>
      </c>
      <c r="H22" s="13">
        <v>690581</v>
      </c>
      <c r="I22" s="13">
        <v>733934.79</v>
      </c>
      <c r="J22" s="13">
        <v>728210</v>
      </c>
      <c r="K22" s="13">
        <v>733934.79</v>
      </c>
      <c r="L22" s="13">
        <v>827609.88</v>
      </c>
      <c r="M22" s="13">
        <v>750000</v>
      </c>
      <c r="N22" s="13">
        <v>840000</v>
      </c>
      <c r="O22" s="13">
        <v>723376.21</v>
      </c>
      <c r="P22" s="13">
        <v>790000</v>
      </c>
      <c r="Q22" s="13">
        <f t="shared" si="0"/>
        <v>10000</v>
      </c>
      <c r="R22" s="24">
        <v>800000</v>
      </c>
      <c r="S22" s="13">
        <f t="shared" si="0"/>
        <v>30000</v>
      </c>
      <c r="T22" s="22">
        <v>830000</v>
      </c>
    </row>
    <row r="23" spans="1:20">
      <c r="A23" s="34" t="s">
        <v>36</v>
      </c>
      <c r="B23" s="18">
        <v>10123.57</v>
      </c>
      <c r="C23" s="18">
        <v>10663.09</v>
      </c>
      <c r="D23" s="18">
        <v>11212.85</v>
      </c>
      <c r="E23" s="18">
        <v>10250</v>
      </c>
      <c r="F23" s="23">
        <v>12474</v>
      </c>
      <c r="G23" s="20">
        <f t="shared" si="1"/>
        <v>-1374</v>
      </c>
      <c r="H23" s="13">
        <v>11100</v>
      </c>
      <c r="I23" s="13">
        <v>13461.17</v>
      </c>
      <c r="J23" s="13">
        <v>12445</v>
      </c>
      <c r="K23" s="13">
        <v>13461.17</v>
      </c>
      <c r="L23" s="13">
        <v>13526.88</v>
      </c>
      <c r="M23" s="13">
        <v>13500</v>
      </c>
      <c r="N23" s="13">
        <v>14000</v>
      </c>
      <c r="O23" s="13">
        <v>13346.34</v>
      </c>
      <c r="P23" s="13">
        <v>14000</v>
      </c>
      <c r="Q23" s="13">
        <f t="shared" si="0"/>
        <v>400</v>
      </c>
      <c r="R23" s="24">
        <v>14400</v>
      </c>
      <c r="S23" s="13">
        <f t="shared" si="0"/>
        <v>600</v>
      </c>
      <c r="T23" s="22">
        <v>15000</v>
      </c>
    </row>
    <row r="24" spans="1:20">
      <c r="A24" s="16" t="s">
        <v>37</v>
      </c>
      <c r="B24" s="18">
        <v>6093.19</v>
      </c>
      <c r="C24" s="18">
        <v>4977.92</v>
      </c>
      <c r="D24" s="18">
        <v>3408.71</v>
      </c>
      <c r="E24" s="18">
        <v>2000</v>
      </c>
      <c r="F24" s="23">
        <v>6648</v>
      </c>
      <c r="G24" s="20">
        <f t="shared" si="1"/>
        <v>-4148</v>
      </c>
      <c r="H24" s="13">
        <v>2500</v>
      </c>
      <c r="I24" s="13">
        <v>3681.48</v>
      </c>
      <c r="J24" s="13">
        <v>3500</v>
      </c>
      <c r="K24" s="13">
        <v>3681.48</v>
      </c>
      <c r="L24" s="13">
        <v>3612.49</v>
      </c>
      <c r="M24" s="13">
        <v>3500</v>
      </c>
      <c r="N24" s="13">
        <v>3500</v>
      </c>
      <c r="O24" s="13">
        <v>2407.2800000000002</v>
      </c>
      <c r="P24" s="13">
        <v>3500</v>
      </c>
      <c r="Q24" s="13">
        <f t="shared" si="0"/>
        <v>-300</v>
      </c>
      <c r="R24" s="24">
        <v>3200</v>
      </c>
      <c r="S24" s="13">
        <f t="shared" si="0"/>
        <v>0</v>
      </c>
      <c r="T24" s="22">
        <v>3200</v>
      </c>
    </row>
    <row r="25" spans="1:20">
      <c r="A25" s="16" t="s">
        <v>38</v>
      </c>
      <c r="B25" s="18">
        <v>1850</v>
      </c>
      <c r="C25" s="18">
        <v>2255</v>
      </c>
      <c r="D25" s="18">
        <v>2480</v>
      </c>
      <c r="E25" s="18">
        <v>1800</v>
      </c>
      <c r="F25" s="23">
        <v>9768</v>
      </c>
      <c r="G25" s="20">
        <f t="shared" si="1"/>
        <v>-8268</v>
      </c>
      <c r="H25" s="13">
        <v>1500</v>
      </c>
      <c r="I25" s="13">
        <v>2530</v>
      </c>
      <c r="J25" s="13">
        <v>2000</v>
      </c>
      <c r="K25" s="13">
        <v>2530</v>
      </c>
      <c r="L25" s="13">
        <v>2440</v>
      </c>
      <c r="M25" s="13">
        <v>2000</v>
      </c>
      <c r="N25" s="13">
        <v>2000</v>
      </c>
      <c r="O25" s="13">
        <v>2842.5</v>
      </c>
      <c r="P25" s="13">
        <v>2000</v>
      </c>
      <c r="Q25" s="13">
        <f t="shared" si="0"/>
        <v>700</v>
      </c>
      <c r="R25" s="24">
        <v>2700</v>
      </c>
      <c r="S25" s="13">
        <f t="shared" si="0"/>
        <v>0</v>
      </c>
      <c r="T25" s="22">
        <v>2700</v>
      </c>
    </row>
    <row r="26" spans="1:20">
      <c r="A26" s="16" t="s">
        <v>39</v>
      </c>
      <c r="B26" s="18">
        <v>0</v>
      </c>
      <c r="C26" s="18">
        <v>2710.81</v>
      </c>
      <c r="D26" s="18">
        <v>13295.38</v>
      </c>
      <c r="E26" s="18">
        <v>0</v>
      </c>
      <c r="F26" s="23">
        <v>4685</v>
      </c>
      <c r="G26" s="20">
        <f t="shared" si="1"/>
        <v>6315</v>
      </c>
      <c r="H26" s="13">
        <v>11000</v>
      </c>
      <c r="I26" s="13">
        <v>12688.29</v>
      </c>
      <c r="J26" s="13">
        <v>13947</v>
      </c>
      <c r="K26" s="13">
        <v>15360.27</v>
      </c>
      <c r="L26" s="13">
        <v>29303.279999999999</v>
      </c>
      <c r="M26" s="13">
        <v>12000</v>
      </c>
      <c r="N26" s="13">
        <v>22000</v>
      </c>
      <c r="O26" s="13">
        <v>40496.410000000003</v>
      </c>
      <c r="P26" s="13">
        <v>22000</v>
      </c>
      <c r="Q26" s="13">
        <f t="shared" si="0"/>
        <v>10000</v>
      </c>
      <c r="R26" s="24">
        <v>32000</v>
      </c>
      <c r="S26" s="13">
        <f t="shared" si="0"/>
        <v>-32000</v>
      </c>
      <c r="T26" s="22"/>
    </row>
    <row r="27" spans="1:20">
      <c r="A27" s="16" t="s">
        <v>40</v>
      </c>
      <c r="B27" s="18"/>
      <c r="C27" s="18"/>
      <c r="D27" s="18"/>
      <c r="E27" s="18"/>
      <c r="F27" s="23"/>
      <c r="G27" s="20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24">
        <v>0</v>
      </c>
      <c r="S27" s="13">
        <f t="shared" si="0"/>
        <v>8000</v>
      </c>
      <c r="T27" s="22">
        <v>8000</v>
      </c>
    </row>
    <row r="28" spans="1:20">
      <c r="A28" s="16" t="s">
        <v>41</v>
      </c>
      <c r="B28" s="18"/>
      <c r="C28" s="18"/>
      <c r="D28" s="18"/>
      <c r="E28" s="18"/>
      <c r="F28" s="23"/>
      <c r="G28" s="20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24">
        <v>0</v>
      </c>
      <c r="S28" s="13">
        <f t="shared" si="0"/>
        <v>1250</v>
      </c>
      <c r="T28" s="22">
        <v>1250</v>
      </c>
    </row>
    <row r="29" spans="1:20">
      <c r="A29" s="16" t="s">
        <v>42</v>
      </c>
      <c r="B29" s="18"/>
      <c r="C29" s="18"/>
      <c r="D29" s="18"/>
      <c r="E29" s="18"/>
      <c r="F29" s="23"/>
      <c r="G29" s="20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24">
        <v>0</v>
      </c>
      <c r="S29" s="13">
        <f t="shared" si="0"/>
        <v>21700</v>
      </c>
      <c r="T29" s="22">
        <v>21700</v>
      </c>
    </row>
    <row r="30" spans="1:20">
      <c r="A30" s="16" t="s">
        <v>43</v>
      </c>
      <c r="B30" s="18"/>
      <c r="C30" s="18"/>
      <c r="D30" s="18"/>
      <c r="E30" s="18"/>
      <c r="F30" s="23"/>
      <c r="G30" s="20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4">
        <v>0</v>
      </c>
      <c r="S30" s="13">
        <f t="shared" si="0"/>
        <v>5850</v>
      </c>
      <c r="T30" s="22">
        <v>5850</v>
      </c>
    </row>
    <row r="31" spans="1:20">
      <c r="A31" s="34" t="s">
        <v>44</v>
      </c>
      <c r="B31" s="18">
        <v>5449.95</v>
      </c>
      <c r="C31" s="18">
        <v>10210.92</v>
      </c>
      <c r="D31" s="18">
        <v>3979.24</v>
      </c>
      <c r="E31" s="18">
        <v>4500</v>
      </c>
      <c r="F31" s="23">
        <v>3095</v>
      </c>
      <c r="G31" s="20">
        <f t="shared" si="1"/>
        <v>3405</v>
      </c>
      <c r="H31" s="13">
        <v>6500</v>
      </c>
      <c r="I31" s="13">
        <v>6601.52</v>
      </c>
      <c r="J31" s="13">
        <v>4000</v>
      </c>
      <c r="K31" s="13">
        <v>6601.52</v>
      </c>
      <c r="L31" s="13">
        <v>515.80999999999995</v>
      </c>
      <c r="M31" s="13">
        <v>6000</v>
      </c>
      <c r="N31" s="13">
        <v>600</v>
      </c>
      <c r="O31" s="13">
        <v>487.94</v>
      </c>
      <c r="P31" s="13">
        <v>600</v>
      </c>
      <c r="Q31" s="13">
        <f t="shared" si="0"/>
        <v>0</v>
      </c>
      <c r="R31" s="24">
        <v>600</v>
      </c>
      <c r="S31" s="13">
        <f t="shared" si="0"/>
        <v>200</v>
      </c>
      <c r="T31" s="22">
        <v>800</v>
      </c>
    </row>
    <row r="32" spans="1:20">
      <c r="A32" s="35" t="s">
        <v>45</v>
      </c>
      <c r="B32" s="18"/>
      <c r="C32" s="18"/>
      <c r="D32" s="18"/>
      <c r="E32" s="18"/>
      <c r="F32" s="23"/>
      <c r="G32" s="20"/>
      <c r="H32" s="13"/>
      <c r="I32" s="13"/>
      <c r="J32" s="13"/>
      <c r="K32" s="13">
        <v>2773.4</v>
      </c>
      <c r="L32" s="13">
        <v>2660.14</v>
      </c>
      <c r="M32" s="13"/>
      <c r="N32" s="13">
        <v>2700</v>
      </c>
      <c r="O32" s="13">
        <v>2250.36</v>
      </c>
      <c r="P32" s="13">
        <v>2700</v>
      </c>
      <c r="Q32" s="13">
        <f t="shared" si="0"/>
        <v>0</v>
      </c>
      <c r="R32" s="24">
        <v>2700</v>
      </c>
      <c r="S32" s="13">
        <f t="shared" si="0"/>
        <v>-780</v>
      </c>
      <c r="T32" s="22">
        <v>1920</v>
      </c>
    </row>
    <row r="33" spans="1:20">
      <c r="A33" s="16" t="s">
        <v>46</v>
      </c>
      <c r="B33" s="18">
        <v>55</v>
      </c>
      <c r="C33" s="18">
        <v>561</v>
      </c>
      <c r="D33" s="18">
        <v>1747.05</v>
      </c>
      <c r="E33" s="18">
        <v>500</v>
      </c>
      <c r="F33" s="23">
        <v>3964</v>
      </c>
      <c r="G33" s="20">
        <f>SUM(H33-F33)</f>
        <v>-3464</v>
      </c>
      <c r="H33" s="13">
        <v>500</v>
      </c>
      <c r="I33" s="13">
        <v>9899.8799999999992</v>
      </c>
      <c r="J33" s="13">
        <v>3000</v>
      </c>
      <c r="K33" s="13">
        <v>9899.8799999999992</v>
      </c>
      <c r="L33" s="13">
        <v>1340.55</v>
      </c>
      <c r="M33" s="13">
        <v>4000</v>
      </c>
      <c r="N33" s="13">
        <v>4000</v>
      </c>
      <c r="O33" s="13">
        <v>1088.69</v>
      </c>
      <c r="P33" s="13">
        <v>4000</v>
      </c>
      <c r="Q33" s="13">
        <f t="shared" si="0"/>
        <v>-1000</v>
      </c>
      <c r="R33" s="24">
        <v>3000</v>
      </c>
      <c r="S33" s="13">
        <f t="shared" si="0"/>
        <v>0</v>
      </c>
      <c r="T33" s="22">
        <v>3000</v>
      </c>
    </row>
    <row r="34" spans="1:20">
      <c r="A34" s="36" t="s">
        <v>47</v>
      </c>
      <c r="B34" s="18">
        <v>1207.75</v>
      </c>
      <c r="C34" s="18">
        <v>2494.1</v>
      </c>
      <c r="D34" s="18">
        <v>12543.83</v>
      </c>
      <c r="E34" s="18">
        <v>2100</v>
      </c>
      <c r="F34" s="23">
        <v>602</v>
      </c>
      <c r="G34" s="20">
        <f>SUM(H34-F34)</f>
        <v>3398</v>
      </c>
      <c r="H34" s="13">
        <v>4000</v>
      </c>
      <c r="I34" s="13">
        <v>849.4</v>
      </c>
      <c r="J34" s="13">
        <v>4000</v>
      </c>
      <c r="K34" s="13">
        <v>849.4</v>
      </c>
      <c r="L34" s="13">
        <v>630</v>
      </c>
      <c r="M34" s="13">
        <v>4000</v>
      </c>
      <c r="N34" s="13">
        <v>1000</v>
      </c>
      <c r="O34" s="13">
        <v>350</v>
      </c>
      <c r="P34" s="13">
        <v>1000</v>
      </c>
      <c r="Q34" s="13">
        <f t="shared" si="0"/>
        <v>0</v>
      </c>
      <c r="R34" s="24">
        <v>1000</v>
      </c>
      <c r="S34" s="13">
        <f t="shared" si="0"/>
        <v>0</v>
      </c>
      <c r="T34" s="22">
        <v>1000</v>
      </c>
    </row>
    <row r="35" spans="1:20">
      <c r="A35" s="16" t="s">
        <v>48</v>
      </c>
      <c r="B35" s="18"/>
      <c r="C35" s="18"/>
      <c r="D35" s="18"/>
      <c r="E35" s="18"/>
      <c r="F35" s="23"/>
      <c r="G35" s="20"/>
      <c r="H35" s="13"/>
      <c r="I35" s="13">
        <v>8226.6</v>
      </c>
      <c r="J35" s="13">
        <v>9053</v>
      </c>
      <c r="K35" s="13">
        <v>8226.6</v>
      </c>
      <c r="L35" s="13">
        <v>9339.86</v>
      </c>
      <c r="M35" s="13">
        <v>9000</v>
      </c>
      <c r="N35" s="13">
        <v>9000</v>
      </c>
      <c r="O35" s="13">
        <v>9749.64</v>
      </c>
      <c r="P35" s="13">
        <v>9300</v>
      </c>
      <c r="Q35" s="13">
        <f t="shared" si="0"/>
        <v>-300</v>
      </c>
      <c r="R35" s="24">
        <v>9000</v>
      </c>
      <c r="S35" s="13">
        <f t="shared" si="0"/>
        <v>0</v>
      </c>
      <c r="T35" s="22">
        <v>9000</v>
      </c>
    </row>
    <row r="36" spans="1:20" ht="24">
      <c r="A36" s="37" t="s">
        <v>49</v>
      </c>
      <c r="B36" s="17"/>
      <c r="C36" s="17"/>
      <c r="D36" s="17"/>
      <c r="E36" s="18">
        <v>283000</v>
      </c>
      <c r="F36" s="19"/>
      <c r="G36" s="20">
        <f>SUM(H36-F36)</f>
        <v>283000</v>
      </c>
      <c r="H36" s="13">
        <v>283000</v>
      </c>
      <c r="I36" s="13"/>
      <c r="J36" s="13">
        <v>283000</v>
      </c>
      <c r="K36" s="13"/>
      <c r="L36" s="13">
        <v>3174.94</v>
      </c>
      <c r="M36" s="13">
        <v>283000</v>
      </c>
      <c r="N36" s="13">
        <v>283000</v>
      </c>
      <c r="O36" s="13">
        <v>0</v>
      </c>
      <c r="P36" s="13">
        <v>23000</v>
      </c>
      <c r="Q36" s="13">
        <f t="shared" si="0"/>
        <v>0</v>
      </c>
      <c r="R36" s="24">
        <v>23000</v>
      </c>
      <c r="S36" s="13">
        <f t="shared" si="0"/>
        <v>22000</v>
      </c>
      <c r="T36" s="22">
        <v>45000</v>
      </c>
    </row>
    <row r="37" spans="1:20">
      <c r="A37" s="38" t="s">
        <v>50</v>
      </c>
      <c r="B37" s="39">
        <f t="shared" ref="B37:H37" si="2">SUM(B4:B36)</f>
        <v>1138254.9099999999</v>
      </c>
      <c r="C37" s="39">
        <f t="shared" si="2"/>
        <v>1149230.6000000001</v>
      </c>
      <c r="D37" s="39">
        <f t="shared" si="2"/>
        <v>712390.67999999993</v>
      </c>
      <c r="E37" s="39">
        <f t="shared" si="2"/>
        <v>1591797.69</v>
      </c>
      <c r="F37" s="40">
        <f t="shared" si="2"/>
        <v>2069561</v>
      </c>
      <c r="G37" s="41">
        <f>SUM(H37-F37)</f>
        <v>529867</v>
      </c>
      <c r="H37" s="42">
        <f t="shared" si="2"/>
        <v>2599428</v>
      </c>
      <c r="I37" s="42">
        <f>SUM(J37-H37)</f>
        <v>52728</v>
      </c>
      <c r="J37" s="42">
        <f>SUM(J4:J36)</f>
        <v>2652156</v>
      </c>
      <c r="K37" s="42">
        <f>SUM(K4:K36)</f>
        <v>1871093.65</v>
      </c>
      <c r="L37" s="42">
        <f t="shared" ref="L37" si="3">SUM(L4:L36)</f>
        <v>1836612.0799999998</v>
      </c>
      <c r="M37" s="42">
        <f>SUM(M4:M36)</f>
        <v>2156218</v>
      </c>
      <c r="N37" s="42">
        <f>SUM(N4:N36)</f>
        <v>2134164.7400000002</v>
      </c>
      <c r="O37" s="42">
        <f t="shared" ref="O37" si="4">SUM(O4:O36)</f>
        <v>1808763.0999999999</v>
      </c>
      <c r="P37" s="42">
        <f>SUM(P4:P36)</f>
        <v>1982147</v>
      </c>
      <c r="Q37" s="43">
        <f t="shared" si="0"/>
        <v>-131132</v>
      </c>
      <c r="R37" s="42">
        <f>SUM(R4:R36)</f>
        <v>1851015</v>
      </c>
      <c r="S37" s="43">
        <f t="shared" si="0"/>
        <v>55387</v>
      </c>
      <c r="T37" s="44">
        <f>SUM(T4:T36)</f>
        <v>1906402</v>
      </c>
    </row>
    <row r="38" spans="1:20">
      <c r="A38" s="16"/>
      <c r="B38" s="17"/>
      <c r="C38" s="17"/>
      <c r="D38" s="17"/>
      <c r="E38" s="18"/>
      <c r="F38" s="19"/>
      <c r="G38" s="20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2"/>
    </row>
    <row r="39" spans="1:20">
      <c r="A39" s="10" t="s">
        <v>51</v>
      </c>
      <c r="B39" s="17"/>
      <c r="C39" s="17"/>
      <c r="D39" s="17"/>
      <c r="E39" s="18"/>
      <c r="F39" s="19"/>
      <c r="G39" s="20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22"/>
    </row>
    <row r="40" spans="1:20">
      <c r="A40" s="16" t="s">
        <v>52</v>
      </c>
      <c r="B40" s="17"/>
      <c r="C40" s="17"/>
      <c r="D40" s="17"/>
      <c r="E40" s="18"/>
      <c r="F40" s="19"/>
      <c r="G40" s="20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24"/>
      <c r="S40" s="13"/>
      <c r="T40" s="22"/>
    </row>
    <row r="41" spans="1:20">
      <c r="A41" s="16" t="s">
        <v>53</v>
      </c>
      <c r="B41" s="18">
        <v>53555.83</v>
      </c>
      <c r="C41" s="18">
        <v>46900.24</v>
      </c>
      <c r="D41" s="18">
        <v>64344.28</v>
      </c>
      <c r="E41" s="18">
        <v>63000</v>
      </c>
      <c r="F41" s="23">
        <v>65415</v>
      </c>
      <c r="G41" s="20">
        <f t="shared" ref="G41:G57" si="5">SUM(H41-F41)</f>
        <v>105</v>
      </c>
      <c r="H41" s="18">
        <v>65520</v>
      </c>
      <c r="I41" s="13">
        <v>84686.59</v>
      </c>
      <c r="J41" s="13">
        <v>85520</v>
      </c>
      <c r="K41" s="13">
        <v>84686.59</v>
      </c>
      <c r="L41" s="13">
        <v>85519.92</v>
      </c>
      <c r="M41" s="13">
        <v>85530</v>
      </c>
      <c r="N41" s="13" t="e" vm="1">
        <f>[1]Salaries!H3</f>
        <v>#VALUE!</v>
      </c>
      <c r="O41" s="13">
        <v>85519.92</v>
      </c>
      <c r="P41" s="13">
        <v>85530</v>
      </c>
      <c r="Q41" s="13">
        <f t="shared" ref="Q41:S55" si="6">SUM(R41-P41)</f>
        <v>2662</v>
      </c>
      <c r="R41" s="24">
        <v>88192</v>
      </c>
      <c r="S41" s="13">
        <v>2704</v>
      </c>
      <c r="T41" s="22">
        <v>90896</v>
      </c>
    </row>
    <row r="42" spans="1:20">
      <c r="A42" s="16" t="s">
        <v>54</v>
      </c>
      <c r="B42" s="18"/>
      <c r="C42" s="18"/>
      <c r="D42" s="18"/>
      <c r="E42" s="18"/>
      <c r="F42" s="23">
        <v>40644</v>
      </c>
      <c r="G42" s="20">
        <f t="shared" si="5"/>
        <v>956</v>
      </c>
      <c r="H42" s="18">
        <v>41600</v>
      </c>
      <c r="I42" s="13">
        <v>59233.33</v>
      </c>
      <c r="J42" s="13">
        <v>60000</v>
      </c>
      <c r="K42" s="13">
        <v>59233.33</v>
      </c>
      <c r="L42" s="13">
        <v>62698.59</v>
      </c>
      <c r="M42" s="13">
        <v>62816</v>
      </c>
      <c r="N42" s="13" t="e" vm="1">
        <f>[1]Salaries!H4</f>
        <v>#VALUE!</v>
      </c>
      <c r="O42" s="13">
        <v>64609.919999999998</v>
      </c>
      <c r="P42" s="13">
        <v>64688</v>
      </c>
      <c r="Q42" s="13">
        <f t="shared" si="6"/>
        <v>1872</v>
      </c>
      <c r="R42" s="24">
        <v>66560</v>
      </c>
      <c r="S42" s="13">
        <v>2080</v>
      </c>
      <c r="T42" s="22">
        <v>68640</v>
      </c>
    </row>
    <row r="43" spans="1:20">
      <c r="A43" s="16" t="s">
        <v>55</v>
      </c>
      <c r="B43" s="18">
        <v>127680.18</v>
      </c>
      <c r="C43" s="18">
        <v>108811.65</v>
      </c>
      <c r="D43" s="18">
        <v>140928.26</v>
      </c>
      <c r="E43" s="18">
        <v>152000</v>
      </c>
      <c r="F43" s="23">
        <v>173936</v>
      </c>
      <c r="G43" s="20">
        <f t="shared" si="5"/>
        <v>1064</v>
      </c>
      <c r="H43" s="18">
        <v>175000</v>
      </c>
      <c r="I43" s="18"/>
      <c r="J43" s="18"/>
      <c r="K43" s="18"/>
      <c r="L43" s="18"/>
      <c r="M43" s="45">
        <v>0</v>
      </c>
      <c r="N43" s="13"/>
      <c r="O43" s="13"/>
      <c r="P43" s="46">
        <v>0</v>
      </c>
      <c r="Q43" s="13">
        <f t="shared" si="6"/>
        <v>0</v>
      </c>
      <c r="R43" s="24"/>
      <c r="S43" s="13">
        <f t="shared" si="6"/>
        <v>0</v>
      </c>
      <c r="T43" s="22"/>
    </row>
    <row r="44" spans="1:20">
      <c r="A44" s="16" t="s">
        <v>56</v>
      </c>
      <c r="B44" s="18">
        <v>40542.68</v>
      </c>
      <c r="C44" s="18">
        <v>37933.870000000003</v>
      </c>
      <c r="D44" s="18">
        <v>39106.9</v>
      </c>
      <c r="E44" s="18">
        <v>54000</v>
      </c>
      <c r="F44" s="23">
        <v>31017</v>
      </c>
      <c r="G44" s="20">
        <f t="shared" si="5"/>
        <v>1983</v>
      </c>
      <c r="H44" s="18">
        <v>33000</v>
      </c>
      <c r="I44" s="18">
        <v>247140.86</v>
      </c>
      <c r="J44" s="18">
        <v>249794</v>
      </c>
      <c r="K44" s="18">
        <v>247140.86</v>
      </c>
      <c r="L44" s="18">
        <v>276737.96999999997</v>
      </c>
      <c r="M44" s="18">
        <v>297596</v>
      </c>
      <c r="N44" s="13">
        <v>305798</v>
      </c>
      <c r="O44" s="13">
        <v>284215.62</v>
      </c>
      <c r="P44" s="18">
        <v>296532</v>
      </c>
      <c r="Q44" s="13">
        <f t="shared" si="6"/>
        <v>38944</v>
      </c>
      <c r="R44" s="24">
        <v>335476</v>
      </c>
      <c r="S44" s="13">
        <v>19744</v>
      </c>
      <c r="T44" s="22">
        <v>355220</v>
      </c>
    </row>
    <row r="45" spans="1:20">
      <c r="A45" s="47" t="s">
        <v>57</v>
      </c>
      <c r="B45" s="48"/>
      <c r="C45" s="48"/>
      <c r="D45" s="48"/>
      <c r="E45" s="48"/>
      <c r="F45" s="49">
        <v>8765</v>
      </c>
      <c r="G45" s="20">
        <f>SUM(H45-F45)</f>
        <v>2735</v>
      </c>
      <c r="H45" s="48">
        <v>11500</v>
      </c>
      <c r="I45" s="48"/>
      <c r="J45" s="48"/>
      <c r="K45" s="48">
        <v>5010</v>
      </c>
      <c r="L45" s="48">
        <v>18921.5</v>
      </c>
      <c r="M45" s="45">
        <v>0</v>
      </c>
      <c r="N45" s="13">
        <v>21100</v>
      </c>
      <c r="O45" s="13">
        <v>22723.200000000001</v>
      </c>
      <c r="P45" s="45">
        <v>21100</v>
      </c>
      <c r="Q45" s="13">
        <f t="shared" si="6"/>
        <v>-21100</v>
      </c>
      <c r="R45" s="24">
        <v>0</v>
      </c>
      <c r="S45" s="13">
        <v>16550</v>
      </c>
      <c r="T45" s="22">
        <v>16550</v>
      </c>
    </row>
    <row r="46" spans="1:20">
      <c r="A46" s="16" t="s">
        <v>58</v>
      </c>
      <c r="B46" s="50"/>
      <c r="C46" s="18">
        <v>150</v>
      </c>
      <c r="D46" s="18">
        <v>424.65</v>
      </c>
      <c r="E46" s="18">
        <v>5575</v>
      </c>
      <c r="F46" s="23">
        <v>4814</v>
      </c>
      <c r="G46" s="20">
        <f t="shared" si="5"/>
        <v>761</v>
      </c>
      <c r="H46" s="13">
        <v>5575</v>
      </c>
      <c r="I46" s="20">
        <v>826.25</v>
      </c>
      <c r="J46" s="20">
        <v>5575</v>
      </c>
      <c r="K46" s="20">
        <v>1502.2</v>
      </c>
      <c r="L46" s="20">
        <v>1923.25</v>
      </c>
      <c r="M46" s="20">
        <v>5575</v>
      </c>
      <c r="N46" s="20">
        <v>5575</v>
      </c>
      <c r="O46" s="20">
        <v>1202.77</v>
      </c>
      <c r="P46" s="20">
        <v>2500</v>
      </c>
      <c r="Q46" s="13">
        <f t="shared" si="6"/>
        <v>0</v>
      </c>
      <c r="R46" s="51">
        <v>2500</v>
      </c>
      <c r="S46" s="13">
        <f t="shared" si="6"/>
        <v>-1500</v>
      </c>
      <c r="T46" s="22">
        <v>1000</v>
      </c>
    </row>
    <row r="47" spans="1:20" ht="25.5">
      <c r="A47" s="16" t="s">
        <v>59</v>
      </c>
      <c r="B47" s="18">
        <v>33525.360000000001</v>
      </c>
      <c r="C47" s="18">
        <v>27294.66</v>
      </c>
      <c r="D47" s="18">
        <v>30678.76</v>
      </c>
      <c r="E47" s="18">
        <v>40000</v>
      </c>
      <c r="F47" s="23">
        <v>24619</v>
      </c>
      <c r="G47" s="20">
        <f t="shared" si="5"/>
        <v>4181</v>
      </c>
      <c r="H47" s="13">
        <v>28800</v>
      </c>
      <c r="I47" s="18">
        <v>25372.28</v>
      </c>
      <c r="J47" s="18">
        <v>32000</v>
      </c>
      <c r="K47" s="18">
        <v>25372.28</v>
      </c>
      <c r="L47" s="18">
        <v>29344.080000000002</v>
      </c>
      <c r="M47" s="18">
        <v>29200</v>
      </c>
      <c r="N47" s="18">
        <v>35000</v>
      </c>
      <c r="O47" s="18">
        <v>34404</v>
      </c>
      <c r="P47" s="18">
        <v>35000</v>
      </c>
      <c r="Q47" s="13">
        <f t="shared" si="6"/>
        <v>-5000</v>
      </c>
      <c r="R47" s="52">
        <v>30000</v>
      </c>
      <c r="S47" s="13">
        <f t="shared" si="6"/>
        <v>-3500</v>
      </c>
      <c r="T47" s="53">
        <v>26500</v>
      </c>
    </row>
    <row r="48" spans="1:20">
      <c r="A48" s="16" t="s">
        <v>60</v>
      </c>
      <c r="B48" s="18">
        <v>18425</v>
      </c>
      <c r="C48" s="18">
        <v>16475</v>
      </c>
      <c r="D48" s="18">
        <v>14122.5</v>
      </c>
      <c r="E48" s="18">
        <v>21900</v>
      </c>
      <c r="F48" s="23">
        <v>9000</v>
      </c>
      <c r="G48" s="20">
        <f t="shared" si="5"/>
        <v>0</v>
      </c>
      <c r="H48" s="54">
        <f>SUM(3000*3)</f>
        <v>9000</v>
      </c>
      <c r="I48" s="13">
        <v>10920</v>
      </c>
      <c r="J48" s="13">
        <v>12000</v>
      </c>
      <c r="K48" s="13">
        <v>10920</v>
      </c>
      <c r="L48" s="13">
        <v>12420</v>
      </c>
      <c r="M48" s="13">
        <v>12000</v>
      </c>
      <c r="N48" s="13">
        <v>15000</v>
      </c>
      <c r="O48" s="13">
        <v>19406.25</v>
      </c>
      <c r="P48" s="13">
        <v>15000</v>
      </c>
      <c r="Q48" s="13">
        <f t="shared" si="6"/>
        <v>-3000</v>
      </c>
      <c r="R48" s="24">
        <v>12000</v>
      </c>
      <c r="S48" s="13">
        <f t="shared" si="6"/>
        <v>0</v>
      </c>
      <c r="T48" s="22">
        <v>12000</v>
      </c>
    </row>
    <row r="49" spans="1:20" ht="25.5">
      <c r="A49" s="16" t="s">
        <v>61</v>
      </c>
      <c r="B49" s="18">
        <v>1252.8</v>
      </c>
      <c r="C49" s="18">
        <v>1055.25</v>
      </c>
      <c r="D49" s="18">
        <v>486</v>
      </c>
      <c r="E49" s="18">
        <v>1400</v>
      </c>
      <c r="F49" s="23">
        <v>676</v>
      </c>
      <c r="G49" s="20">
        <f t="shared" si="5"/>
        <v>324</v>
      </c>
      <c r="H49" s="13">
        <v>1000</v>
      </c>
      <c r="I49" s="13">
        <v>163.80000000000001</v>
      </c>
      <c r="J49" s="13">
        <v>1000</v>
      </c>
      <c r="K49" s="13">
        <v>163.80000000000001</v>
      </c>
      <c r="L49" s="13">
        <v>175.2</v>
      </c>
      <c r="M49" s="13">
        <v>300</v>
      </c>
      <c r="N49" s="13">
        <v>783</v>
      </c>
      <c r="O49" s="13">
        <v>185.4</v>
      </c>
      <c r="P49" s="13">
        <v>783</v>
      </c>
      <c r="Q49" s="13">
        <f t="shared" si="6"/>
        <v>0</v>
      </c>
      <c r="R49" s="24">
        <v>783</v>
      </c>
      <c r="S49" s="13">
        <f t="shared" si="6"/>
        <v>0</v>
      </c>
      <c r="T49" s="22">
        <v>783</v>
      </c>
    </row>
    <row r="50" spans="1:20">
      <c r="A50" s="16" t="s">
        <v>62</v>
      </c>
      <c r="B50" s="18">
        <v>220</v>
      </c>
      <c r="C50" s="18">
        <v>320</v>
      </c>
      <c r="D50" s="18">
        <v>296</v>
      </c>
      <c r="E50" s="18">
        <v>425</v>
      </c>
      <c r="F50" s="23">
        <v>1718</v>
      </c>
      <c r="G50" s="20">
        <f t="shared" si="5"/>
        <v>-1293</v>
      </c>
      <c r="H50" s="13">
        <v>425</v>
      </c>
      <c r="I50" s="13">
        <v>0</v>
      </c>
      <c r="J50" s="13">
        <v>425</v>
      </c>
      <c r="K50" s="13"/>
      <c r="L50" s="13"/>
      <c r="M50" s="13">
        <v>0</v>
      </c>
      <c r="N50" s="13">
        <v>0</v>
      </c>
      <c r="O50" s="13"/>
      <c r="P50" s="13">
        <v>0</v>
      </c>
      <c r="Q50" s="13">
        <f t="shared" si="6"/>
        <v>0</v>
      </c>
      <c r="R50" s="24">
        <v>0</v>
      </c>
      <c r="S50" s="13">
        <f t="shared" si="6"/>
        <v>0</v>
      </c>
      <c r="T50" s="22">
        <v>0</v>
      </c>
    </row>
    <row r="51" spans="1:20">
      <c r="A51" s="16" t="s">
        <v>63</v>
      </c>
      <c r="B51" s="18"/>
      <c r="C51" s="18"/>
      <c r="D51" s="18"/>
      <c r="E51" s="18"/>
      <c r="F51" s="23">
        <v>7999</v>
      </c>
      <c r="G51" s="20">
        <f t="shared" si="5"/>
        <v>1</v>
      </c>
      <c r="H51" s="13">
        <v>8000</v>
      </c>
      <c r="I51" s="13">
        <v>7203.59</v>
      </c>
      <c r="J51" s="13">
        <v>8000</v>
      </c>
      <c r="K51" s="13">
        <v>7203.59</v>
      </c>
      <c r="L51" s="13">
        <v>5000</v>
      </c>
      <c r="M51" s="13">
        <v>5000</v>
      </c>
      <c r="N51" s="13">
        <v>8000</v>
      </c>
      <c r="O51" s="13"/>
      <c r="P51" s="13">
        <v>0</v>
      </c>
      <c r="Q51" s="13">
        <f t="shared" si="6"/>
        <v>3000</v>
      </c>
      <c r="R51" s="24">
        <v>3000</v>
      </c>
      <c r="S51" s="13">
        <f t="shared" si="6"/>
        <v>4200</v>
      </c>
      <c r="T51" s="22">
        <v>7200</v>
      </c>
    </row>
    <row r="52" spans="1:20">
      <c r="A52" s="16" t="s">
        <v>64</v>
      </c>
      <c r="B52" s="18"/>
      <c r="C52" s="18"/>
      <c r="D52" s="18"/>
      <c r="E52" s="18"/>
      <c r="F52" s="23">
        <v>12000</v>
      </c>
      <c r="G52" s="20">
        <f t="shared" si="5"/>
        <v>-75</v>
      </c>
      <c r="H52" s="13">
        <v>11925</v>
      </c>
      <c r="I52" s="13">
        <v>12000</v>
      </c>
      <c r="J52" s="13">
        <v>12000</v>
      </c>
      <c r="K52" s="13">
        <v>12000</v>
      </c>
      <c r="L52" s="13">
        <v>12000</v>
      </c>
      <c r="M52" s="13">
        <v>12000</v>
      </c>
      <c r="N52" s="13">
        <v>12000</v>
      </c>
      <c r="O52" s="13">
        <v>12000</v>
      </c>
      <c r="P52" s="13">
        <v>12000</v>
      </c>
      <c r="Q52" s="13">
        <f t="shared" si="6"/>
        <v>0</v>
      </c>
      <c r="R52" s="24">
        <v>12000</v>
      </c>
      <c r="S52" s="13">
        <f t="shared" si="6"/>
        <v>0</v>
      </c>
      <c r="T52" s="22">
        <v>12000</v>
      </c>
    </row>
    <row r="53" spans="1:20">
      <c r="A53" s="25" t="s">
        <v>65</v>
      </c>
      <c r="B53" s="18">
        <v>35432.33</v>
      </c>
      <c r="C53" s="18">
        <v>29466.080000000002</v>
      </c>
      <c r="D53" s="18">
        <v>34487.89</v>
      </c>
      <c r="E53" s="18">
        <v>46000</v>
      </c>
      <c r="F53" s="23">
        <v>64283</v>
      </c>
      <c r="G53" s="20">
        <f t="shared" si="5"/>
        <v>1717</v>
      </c>
      <c r="H53" s="13">
        <v>66000</v>
      </c>
      <c r="I53" s="18">
        <v>74568.92</v>
      </c>
      <c r="J53" s="18">
        <v>85088</v>
      </c>
      <c r="K53" s="18">
        <v>74568.09</v>
      </c>
      <c r="L53" s="18">
        <v>83339.03</v>
      </c>
      <c r="M53" s="46">
        <v>83179</v>
      </c>
      <c r="N53" s="46">
        <v>92357</v>
      </c>
      <c r="O53" s="46">
        <v>88034.22</v>
      </c>
      <c r="P53" s="46">
        <v>92686</v>
      </c>
      <c r="Q53" s="13">
        <f t="shared" si="6"/>
        <v>23385.72</v>
      </c>
      <c r="R53" s="24">
        <v>116071.72</v>
      </c>
      <c r="S53" s="13">
        <f t="shared" si="6"/>
        <v>3713.7899999999936</v>
      </c>
      <c r="T53" s="22">
        <v>119785.51</v>
      </c>
    </row>
    <row r="54" spans="1:20">
      <c r="A54" s="16" t="s">
        <v>66</v>
      </c>
      <c r="B54" s="18">
        <v>19118.759999999998</v>
      </c>
      <c r="C54" s="18">
        <v>16940.54</v>
      </c>
      <c r="D54" s="18">
        <v>21651.63</v>
      </c>
      <c r="E54" s="18">
        <v>22000</v>
      </c>
      <c r="F54" s="23">
        <v>29521</v>
      </c>
      <c r="G54" s="20">
        <f t="shared" si="5"/>
        <v>479</v>
      </c>
      <c r="H54" s="13">
        <v>30000</v>
      </c>
      <c r="I54" s="13">
        <v>34550.1</v>
      </c>
      <c r="J54" s="13">
        <v>39532</v>
      </c>
      <c r="K54" s="13">
        <v>34550.1</v>
      </c>
      <c r="L54" s="13">
        <v>38659.050000000003</v>
      </c>
      <c r="M54" s="13">
        <v>44595</v>
      </c>
      <c r="N54" s="13">
        <v>42941</v>
      </c>
      <c r="O54" s="13">
        <v>39739.19</v>
      </c>
      <c r="P54" s="13">
        <v>42108</v>
      </c>
      <c r="Q54" s="13">
        <f t="shared" si="6"/>
        <v>7053</v>
      </c>
      <c r="R54" s="24">
        <v>49161</v>
      </c>
      <c r="S54" s="13">
        <f t="shared" si="6"/>
        <v>1314</v>
      </c>
      <c r="T54" s="22">
        <v>50475</v>
      </c>
    </row>
    <row r="55" spans="1:20">
      <c r="A55" s="16" t="s">
        <v>67</v>
      </c>
      <c r="B55" s="18">
        <v>293.17</v>
      </c>
      <c r="C55" s="18">
        <v>193.26</v>
      </c>
      <c r="D55" s="18">
        <v>240.91</v>
      </c>
      <c r="E55" s="18">
        <v>470</v>
      </c>
      <c r="F55" s="23">
        <v>595</v>
      </c>
      <c r="G55" s="20">
        <f t="shared" si="5"/>
        <v>-125</v>
      </c>
      <c r="H55" s="18">
        <v>470</v>
      </c>
      <c r="I55" s="18">
        <v>636.05999999999995</v>
      </c>
      <c r="J55" s="18">
        <v>400</v>
      </c>
      <c r="K55" s="18">
        <v>636.05999999999995</v>
      </c>
      <c r="L55" s="18">
        <v>236.26</v>
      </c>
      <c r="M55" s="18">
        <v>450</v>
      </c>
      <c r="N55" s="18">
        <v>500</v>
      </c>
      <c r="O55" s="18">
        <v>1398.82</v>
      </c>
      <c r="P55" s="18">
        <v>1400</v>
      </c>
      <c r="Q55" s="13">
        <f t="shared" si="6"/>
        <v>0</v>
      </c>
      <c r="R55" s="52">
        <v>1400</v>
      </c>
      <c r="S55" s="13">
        <f t="shared" si="6"/>
        <v>-400</v>
      </c>
      <c r="T55" s="53">
        <v>1000</v>
      </c>
    </row>
    <row r="56" spans="1:20" ht="25.5">
      <c r="A56" s="16" t="s">
        <v>68</v>
      </c>
      <c r="B56" s="18"/>
      <c r="C56" s="18"/>
      <c r="D56" s="18"/>
      <c r="E56" s="18"/>
      <c r="F56" s="23">
        <v>2181</v>
      </c>
      <c r="G56" s="20">
        <f t="shared" si="5"/>
        <v>3021</v>
      </c>
      <c r="H56" s="13">
        <v>5202</v>
      </c>
      <c r="I56" s="13">
        <v>15158.92</v>
      </c>
      <c r="J56" s="13">
        <v>18324</v>
      </c>
      <c r="K56" s="13">
        <v>15158.92</v>
      </c>
      <c r="L56" s="13">
        <f>13624.6+1046.39+2886.94</f>
        <v>17557.93</v>
      </c>
      <c r="M56" s="13">
        <v>16504.400000000001</v>
      </c>
      <c r="N56" s="13">
        <v>15314</v>
      </c>
      <c r="O56" s="13">
        <v>5538.42</v>
      </c>
      <c r="P56" s="13">
        <v>6430</v>
      </c>
      <c r="Q56" s="13">
        <f t="shared" ref="Q56:S64" si="7">SUM(R56-P56)</f>
        <v>-6430</v>
      </c>
      <c r="R56" s="24">
        <v>0</v>
      </c>
      <c r="S56" s="13">
        <f t="shared" si="7"/>
        <v>0</v>
      </c>
      <c r="T56" s="22">
        <v>0</v>
      </c>
    </row>
    <row r="57" spans="1:20" ht="25.5">
      <c r="A57" s="55" t="s">
        <v>69</v>
      </c>
      <c r="B57" s="56">
        <v>6734.07</v>
      </c>
      <c r="C57" s="56">
        <v>7928.72</v>
      </c>
      <c r="D57" s="56"/>
      <c r="E57" s="56">
        <v>6682</v>
      </c>
      <c r="F57" s="57">
        <v>7926</v>
      </c>
      <c r="G57" s="20">
        <f t="shared" si="5"/>
        <v>-280</v>
      </c>
      <c r="H57" s="58">
        <v>7646</v>
      </c>
      <c r="I57" s="58">
        <v>11115.22</v>
      </c>
      <c r="J57" s="58">
        <v>7900</v>
      </c>
      <c r="K57" s="13">
        <v>11475.7</v>
      </c>
      <c r="L57" s="13">
        <v>6145.38</v>
      </c>
      <c r="M57" s="13">
        <v>8598.32</v>
      </c>
      <c r="N57" s="13">
        <v>9002</v>
      </c>
      <c r="O57" s="13">
        <v>7921.65</v>
      </c>
      <c r="P57" s="13">
        <v>9002</v>
      </c>
      <c r="Q57" s="13">
        <f t="shared" si="7"/>
        <v>118.65999999999985</v>
      </c>
      <c r="R57" s="24">
        <v>9120.66</v>
      </c>
      <c r="S57" s="13">
        <f t="shared" si="7"/>
        <v>-120.65999999999985</v>
      </c>
      <c r="T57" s="22">
        <v>9000</v>
      </c>
    </row>
    <row r="58" spans="1:20">
      <c r="A58" s="16" t="s">
        <v>70</v>
      </c>
      <c r="B58" s="18"/>
      <c r="C58" s="18"/>
      <c r="D58" s="18"/>
      <c r="E58" s="18"/>
      <c r="F58" s="23"/>
      <c r="G58" s="20"/>
      <c r="H58" s="13">
        <v>0</v>
      </c>
      <c r="I58" s="13">
        <v>16023.97</v>
      </c>
      <c r="J58" s="13">
        <v>16226</v>
      </c>
      <c r="K58" s="13"/>
      <c r="L58" s="13"/>
      <c r="M58" s="13">
        <v>0</v>
      </c>
      <c r="N58" s="13">
        <v>0</v>
      </c>
      <c r="O58" s="13"/>
      <c r="P58" s="13"/>
      <c r="Q58" s="13">
        <f t="shared" si="7"/>
        <v>0</v>
      </c>
      <c r="R58" s="24">
        <v>0</v>
      </c>
      <c r="S58" s="13">
        <f t="shared" si="7"/>
        <v>0</v>
      </c>
      <c r="T58" s="22">
        <v>0</v>
      </c>
    </row>
    <row r="59" spans="1:20">
      <c r="A59" s="16" t="s">
        <v>71</v>
      </c>
      <c r="B59" s="18"/>
      <c r="C59" s="18"/>
      <c r="D59" s="18"/>
      <c r="E59" s="18"/>
      <c r="F59" s="23">
        <v>2433</v>
      </c>
      <c r="G59" s="20"/>
      <c r="H59" s="13">
        <v>0</v>
      </c>
      <c r="I59" s="13"/>
      <c r="J59" s="13"/>
      <c r="K59" s="13"/>
      <c r="L59" s="13"/>
      <c r="M59" s="13">
        <v>0</v>
      </c>
      <c r="N59" s="13">
        <v>0</v>
      </c>
      <c r="O59" s="13"/>
      <c r="P59" s="13"/>
      <c r="Q59" s="13">
        <f t="shared" si="7"/>
        <v>0</v>
      </c>
      <c r="R59" s="24">
        <v>0</v>
      </c>
      <c r="S59" s="13">
        <f t="shared" si="7"/>
        <v>0</v>
      </c>
      <c r="T59" s="22">
        <v>0</v>
      </c>
    </row>
    <row r="60" spans="1:20">
      <c r="A60" s="16" t="s">
        <v>72</v>
      </c>
      <c r="B60" s="18"/>
      <c r="C60" s="18"/>
      <c r="D60" s="18"/>
      <c r="E60" s="18"/>
      <c r="F60" s="23">
        <v>0</v>
      </c>
      <c r="G60" s="20"/>
      <c r="H60" s="13">
        <v>0</v>
      </c>
      <c r="I60" s="13"/>
      <c r="J60" s="13"/>
      <c r="K60" s="13"/>
      <c r="L60" s="13"/>
      <c r="M60" s="13">
        <v>0</v>
      </c>
      <c r="N60" s="13">
        <v>0</v>
      </c>
      <c r="O60" s="13"/>
      <c r="P60" s="13"/>
      <c r="Q60" s="13">
        <f t="shared" si="7"/>
        <v>0</v>
      </c>
      <c r="R60" s="24">
        <v>0</v>
      </c>
      <c r="S60" s="13">
        <f t="shared" si="7"/>
        <v>0</v>
      </c>
      <c r="T60" s="22">
        <v>0</v>
      </c>
    </row>
    <row r="61" spans="1:20">
      <c r="A61" s="16" t="s">
        <v>73</v>
      </c>
      <c r="B61" s="18"/>
      <c r="C61" s="18"/>
      <c r="D61" s="18"/>
      <c r="E61" s="18"/>
      <c r="F61" s="23"/>
      <c r="G61" s="20"/>
      <c r="H61" s="13"/>
      <c r="I61" s="13"/>
      <c r="J61" s="13"/>
      <c r="K61" s="13">
        <v>0</v>
      </c>
      <c r="L61" s="13">
        <v>16203.38</v>
      </c>
      <c r="M61" s="13"/>
      <c r="N61" s="13">
        <v>0</v>
      </c>
      <c r="O61" s="13"/>
      <c r="P61" s="13">
        <v>15390</v>
      </c>
      <c r="Q61" s="13">
        <f t="shared" si="7"/>
        <v>-15390</v>
      </c>
      <c r="R61" s="24">
        <v>0</v>
      </c>
      <c r="S61" s="13">
        <f t="shared" si="7"/>
        <v>0</v>
      </c>
      <c r="T61" s="22">
        <v>0</v>
      </c>
    </row>
    <row r="62" spans="1:20" ht="25.5">
      <c r="A62" s="16" t="s">
        <v>74</v>
      </c>
      <c r="B62" s="18"/>
      <c r="C62" s="18"/>
      <c r="D62" s="18"/>
      <c r="E62" s="18"/>
      <c r="F62" s="23"/>
      <c r="G62" s="20"/>
      <c r="H62" s="13"/>
      <c r="I62" s="13"/>
      <c r="J62" s="13"/>
      <c r="K62" s="13"/>
      <c r="L62" s="13"/>
      <c r="M62" s="13"/>
      <c r="N62" s="13"/>
      <c r="O62" s="13">
        <v>15369.3</v>
      </c>
      <c r="P62" s="13"/>
      <c r="Q62" s="13"/>
      <c r="R62" s="24"/>
      <c r="S62" s="13"/>
      <c r="T62" s="22"/>
    </row>
    <row r="63" spans="1:20">
      <c r="A63" s="16" t="s">
        <v>75</v>
      </c>
      <c r="B63" s="18"/>
      <c r="C63" s="18"/>
      <c r="D63" s="18"/>
      <c r="E63" s="18"/>
      <c r="F63" s="23"/>
      <c r="G63" s="20"/>
      <c r="H63" s="13"/>
      <c r="I63" s="13"/>
      <c r="J63" s="13"/>
      <c r="K63" s="13"/>
      <c r="L63" s="13"/>
      <c r="M63" s="13"/>
      <c r="N63" s="13">
        <v>0</v>
      </c>
      <c r="O63" s="13">
        <v>13608.21</v>
      </c>
      <c r="P63" s="13">
        <v>8000</v>
      </c>
      <c r="Q63" s="13">
        <f t="shared" si="7"/>
        <v>-8000</v>
      </c>
      <c r="R63" s="24">
        <v>0</v>
      </c>
      <c r="S63" s="13">
        <f t="shared" si="7"/>
        <v>0</v>
      </c>
      <c r="T63" s="22">
        <v>0</v>
      </c>
    </row>
    <row r="64" spans="1:20" ht="25.5">
      <c r="A64" s="16" t="s">
        <v>76</v>
      </c>
      <c r="B64" s="18"/>
      <c r="C64" s="18"/>
      <c r="D64" s="18"/>
      <c r="E64" s="18"/>
      <c r="F64" s="23"/>
      <c r="G64" s="20"/>
      <c r="H64" s="13"/>
      <c r="I64" s="13"/>
      <c r="J64" s="13"/>
      <c r="K64" s="13"/>
      <c r="L64" s="13"/>
      <c r="M64" s="13"/>
      <c r="N64" s="13">
        <v>0</v>
      </c>
      <c r="O64" s="13">
        <v>42926.54</v>
      </c>
      <c r="P64" s="13">
        <v>10000</v>
      </c>
      <c r="Q64" s="13">
        <f t="shared" si="7"/>
        <v>-10000</v>
      </c>
      <c r="R64" s="24">
        <v>0</v>
      </c>
      <c r="S64" s="13">
        <f t="shared" si="7"/>
        <v>0</v>
      </c>
      <c r="T64" s="22">
        <v>0</v>
      </c>
    </row>
    <row r="65" spans="1:20">
      <c r="A65" s="55" t="s">
        <v>77</v>
      </c>
      <c r="B65" s="18"/>
      <c r="C65" s="18"/>
      <c r="D65" s="18"/>
      <c r="E65" s="18"/>
      <c r="F65" s="23"/>
      <c r="G65" s="20"/>
      <c r="H65" s="13"/>
      <c r="I65" s="13">
        <v>14311.71</v>
      </c>
      <c r="J65" s="13"/>
      <c r="K65" s="13"/>
      <c r="L65" s="13">
        <v>5924.94</v>
      </c>
      <c r="M65" s="13"/>
      <c r="N65" s="13"/>
      <c r="O65" s="13"/>
      <c r="P65" s="13"/>
      <c r="Q65" s="13"/>
      <c r="R65" s="24"/>
      <c r="S65" s="13"/>
      <c r="T65" s="22"/>
    </row>
    <row r="66" spans="1:20">
      <c r="A66" s="59" t="s">
        <v>78</v>
      </c>
      <c r="B66" s="18"/>
      <c r="C66" s="18"/>
      <c r="D66" s="18"/>
      <c r="E66" s="18"/>
      <c r="F66" s="23"/>
      <c r="G66" s="20"/>
      <c r="H66" s="13"/>
      <c r="I66" s="13"/>
      <c r="J66" s="13"/>
      <c r="K66" s="13"/>
      <c r="L66" s="13"/>
      <c r="M66" s="13">
        <v>0</v>
      </c>
      <c r="N66" s="13">
        <v>43542</v>
      </c>
      <c r="O66" s="13"/>
      <c r="P66" s="13">
        <v>45283.8</v>
      </c>
      <c r="Q66" s="13">
        <f>SUM(R66-P66)</f>
        <v>-45283.8</v>
      </c>
      <c r="R66" s="24">
        <v>0</v>
      </c>
      <c r="S66" s="13">
        <f>SUM(T66-R66)</f>
        <v>0</v>
      </c>
      <c r="T66" s="22">
        <v>0</v>
      </c>
    </row>
    <row r="67" spans="1:20">
      <c r="A67" s="38" t="s">
        <v>79</v>
      </c>
      <c r="B67" s="39">
        <f t="shared" ref="B67:G67" si="8">SUM(B41:B57)</f>
        <v>336780.18</v>
      </c>
      <c r="C67" s="39">
        <f t="shared" si="8"/>
        <v>293469.26999999996</v>
      </c>
      <c r="D67" s="39">
        <f t="shared" si="8"/>
        <v>346767.77999999997</v>
      </c>
      <c r="E67" s="39">
        <f t="shared" si="8"/>
        <v>413452</v>
      </c>
      <c r="F67" s="60">
        <f t="shared" si="8"/>
        <v>485109</v>
      </c>
      <c r="G67" s="61">
        <f t="shared" si="8"/>
        <v>15554</v>
      </c>
      <c r="H67" s="42">
        <f>SUM(H41:H60)</f>
        <v>500663</v>
      </c>
      <c r="I67" s="42">
        <f>SUM(I41:I60)</f>
        <v>599599.89</v>
      </c>
      <c r="J67" s="42">
        <f>SUM(J41:J60)</f>
        <v>633784</v>
      </c>
      <c r="K67" s="42">
        <f>SUM(K41:K66)</f>
        <v>589621.52</v>
      </c>
      <c r="L67" s="42">
        <f>SUM(L41:L66)</f>
        <v>672806.4800000001</v>
      </c>
      <c r="M67" s="42">
        <f>SUM(M41:M66)</f>
        <v>663343.72</v>
      </c>
      <c r="N67" s="42" t="e" vm="2">
        <f>SUM(N41:N66)</f>
        <v>#VALUE!</v>
      </c>
      <c r="O67" s="42">
        <f>SUM(O41:O66)</f>
        <v>738803.43</v>
      </c>
      <c r="P67" s="42">
        <f>ROUND(SUM(P41:P66),0)</f>
        <v>763433</v>
      </c>
      <c r="Q67" s="43">
        <f>SUM(R67-P67)</f>
        <v>-37169</v>
      </c>
      <c r="R67" s="42">
        <f>ROUND(SUM(R41:R66),0)</f>
        <v>726264</v>
      </c>
      <c r="S67" s="43">
        <f>SUM(T67-R67)</f>
        <v>44786</v>
      </c>
      <c r="T67" s="44">
        <f>ROUND(SUM(T41:T66),0)</f>
        <v>771050</v>
      </c>
    </row>
    <row r="68" spans="1:20">
      <c r="A68" s="16"/>
      <c r="B68" s="17"/>
      <c r="C68" s="17"/>
      <c r="D68" s="17"/>
      <c r="E68" s="18"/>
      <c r="F68" s="19"/>
      <c r="G68" s="20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24"/>
      <c r="S68" s="13"/>
      <c r="T68" s="22"/>
    </row>
    <row r="69" spans="1:20">
      <c r="A69" s="10" t="s">
        <v>80</v>
      </c>
      <c r="B69" s="17"/>
      <c r="C69" s="17"/>
      <c r="D69" s="17"/>
      <c r="E69" s="18"/>
      <c r="F69" s="19"/>
      <c r="G69" s="20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4"/>
      <c r="S69" s="13"/>
      <c r="T69" s="22"/>
    </row>
    <row r="70" spans="1:20">
      <c r="A70" s="10" t="s">
        <v>81</v>
      </c>
      <c r="B70" s="17"/>
      <c r="C70" s="17"/>
      <c r="D70" s="17"/>
      <c r="E70" s="18"/>
      <c r="F70" s="19"/>
      <c r="G70" s="20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24"/>
      <c r="S70" s="13"/>
      <c r="T70" s="22"/>
    </row>
    <row r="71" spans="1:20" hidden="1">
      <c r="A71" s="62" t="s">
        <v>82</v>
      </c>
      <c r="B71" s="52">
        <v>1517.29</v>
      </c>
      <c r="C71" s="52">
        <v>1051.22</v>
      </c>
      <c r="D71" s="52">
        <v>2522.33</v>
      </c>
      <c r="E71" s="52">
        <v>2000</v>
      </c>
      <c r="F71" s="63">
        <v>2305</v>
      </c>
      <c r="G71" s="51">
        <f>SUM(H71-F71)</f>
        <v>195</v>
      </c>
      <c r="H71" s="24">
        <v>2500</v>
      </c>
      <c r="I71" s="24">
        <v>2700.83</v>
      </c>
      <c r="J71" s="24">
        <v>2500</v>
      </c>
      <c r="K71" s="24">
        <v>2700.83</v>
      </c>
      <c r="L71" s="24">
        <v>1022.52</v>
      </c>
      <c r="M71" s="24">
        <v>2500</v>
      </c>
      <c r="N71" s="24">
        <v>1500</v>
      </c>
      <c r="O71" s="24">
        <v>1413.5</v>
      </c>
      <c r="P71" s="24">
        <v>1800</v>
      </c>
      <c r="Q71" s="13">
        <f t="shared" ref="Q71:S90" si="9">SUM(R71-P71)</f>
        <v>-300</v>
      </c>
      <c r="R71" s="24">
        <v>1500</v>
      </c>
      <c r="S71" s="13">
        <f t="shared" si="9"/>
        <v>-500</v>
      </c>
      <c r="T71" s="22">
        <v>1000</v>
      </c>
    </row>
    <row r="72" spans="1:20" hidden="1">
      <c r="A72" s="62" t="s">
        <v>83</v>
      </c>
      <c r="B72" s="52"/>
      <c r="C72" s="52"/>
      <c r="D72" s="52"/>
      <c r="E72" s="52"/>
      <c r="F72" s="63"/>
      <c r="G72" s="51"/>
      <c r="H72" s="24"/>
      <c r="I72" s="24">
        <v>195.05</v>
      </c>
      <c r="J72" s="24">
        <v>2200</v>
      </c>
      <c r="K72" s="24">
        <v>195.05</v>
      </c>
      <c r="L72" s="24">
        <v>3287.09</v>
      </c>
      <c r="M72" s="24">
        <v>3000</v>
      </c>
      <c r="N72" s="24">
        <v>5000</v>
      </c>
      <c r="O72" s="24">
        <v>5391.72</v>
      </c>
      <c r="P72" s="24">
        <v>5000</v>
      </c>
      <c r="Q72" s="13">
        <f t="shared" si="9"/>
        <v>-5000</v>
      </c>
      <c r="R72" s="24">
        <v>0</v>
      </c>
      <c r="S72" s="13">
        <f t="shared" si="9"/>
        <v>0</v>
      </c>
      <c r="T72" s="22">
        <v>0</v>
      </c>
    </row>
    <row r="73" spans="1:20" hidden="1">
      <c r="A73" s="62" t="s">
        <v>84</v>
      </c>
      <c r="B73" s="52">
        <v>907.06</v>
      </c>
      <c r="C73" s="52">
        <v>3281.87</v>
      </c>
      <c r="D73" s="52">
        <v>3180.44</v>
      </c>
      <c r="E73" s="52">
        <v>6700</v>
      </c>
      <c r="F73" s="63">
        <v>5009</v>
      </c>
      <c r="G73" s="51">
        <f t="shared" ref="G73:G96" si="10">SUM(H73-F73)</f>
        <v>-9</v>
      </c>
      <c r="H73" s="24">
        <v>5000</v>
      </c>
      <c r="I73" s="24">
        <v>4596.08</v>
      </c>
      <c r="J73" s="24">
        <v>3500</v>
      </c>
      <c r="K73" s="24">
        <v>4458.41</v>
      </c>
      <c r="L73" s="24">
        <v>4424.4799999999996</v>
      </c>
      <c r="M73" s="24">
        <v>3600</v>
      </c>
      <c r="N73" s="24">
        <v>5000</v>
      </c>
      <c r="O73" s="24">
        <v>1485.68</v>
      </c>
      <c r="P73" s="24">
        <v>5000</v>
      </c>
      <c r="Q73" s="13">
        <f t="shared" si="9"/>
        <v>-5000</v>
      </c>
      <c r="R73" s="24"/>
      <c r="S73" s="13"/>
      <c r="T73" s="22"/>
    </row>
    <row r="74" spans="1:20" hidden="1">
      <c r="A74" s="62" t="s">
        <v>85</v>
      </c>
      <c r="B74" s="52"/>
      <c r="C74" s="52"/>
      <c r="D74" s="52"/>
      <c r="E74" s="52"/>
      <c r="F74" s="63"/>
      <c r="G74" s="51"/>
      <c r="H74" s="24"/>
      <c r="I74" s="24"/>
      <c r="J74" s="24"/>
      <c r="K74" s="24"/>
      <c r="L74" s="24"/>
      <c r="M74" s="24"/>
      <c r="N74" s="24"/>
      <c r="O74" s="24">
        <v>114.95</v>
      </c>
      <c r="P74" s="24"/>
      <c r="Q74" s="13">
        <f t="shared" si="9"/>
        <v>150</v>
      </c>
      <c r="R74" s="24">
        <v>150</v>
      </c>
      <c r="S74" s="13">
        <f t="shared" si="9"/>
        <v>0</v>
      </c>
      <c r="T74" s="22">
        <v>150</v>
      </c>
    </row>
    <row r="75" spans="1:20" hidden="1">
      <c r="A75" s="64" t="s">
        <v>86</v>
      </c>
      <c r="B75" s="52"/>
      <c r="C75" s="52"/>
      <c r="D75" s="52"/>
      <c r="E75" s="52"/>
      <c r="F75" s="63"/>
      <c r="G75" s="51"/>
      <c r="H75" s="24"/>
      <c r="I75" s="24"/>
      <c r="J75" s="24"/>
      <c r="K75" s="24"/>
      <c r="L75" s="24"/>
      <c r="M75" s="24"/>
      <c r="N75" s="24"/>
      <c r="O75" s="24">
        <v>661</v>
      </c>
      <c r="P75" s="24"/>
      <c r="Q75" s="13">
        <f t="shared" si="9"/>
        <v>800</v>
      </c>
      <c r="R75" s="24">
        <v>800</v>
      </c>
      <c r="S75" s="13">
        <f t="shared" si="9"/>
        <v>0</v>
      </c>
      <c r="T75" s="22">
        <v>800</v>
      </c>
    </row>
    <row r="76" spans="1:20" hidden="1">
      <c r="A76" s="64" t="s">
        <v>87</v>
      </c>
      <c r="B76" s="52"/>
      <c r="C76" s="52"/>
      <c r="D76" s="52"/>
      <c r="E76" s="52"/>
      <c r="F76" s="63"/>
      <c r="G76" s="51"/>
      <c r="H76" s="24"/>
      <c r="I76" s="24"/>
      <c r="J76" s="24"/>
      <c r="K76" s="24"/>
      <c r="L76" s="24"/>
      <c r="M76" s="24"/>
      <c r="N76" s="24"/>
      <c r="O76" s="24">
        <v>1910.87</v>
      </c>
      <c r="P76" s="24"/>
      <c r="Q76" s="13">
        <f t="shared" si="9"/>
        <v>10200</v>
      </c>
      <c r="R76" s="24">
        <v>10200</v>
      </c>
      <c r="S76" s="13">
        <f t="shared" si="9"/>
        <v>400</v>
      </c>
      <c r="T76" s="22">
        <v>10600</v>
      </c>
    </row>
    <row r="77" spans="1:20" hidden="1">
      <c r="A77" s="64" t="s">
        <v>88</v>
      </c>
      <c r="B77" s="52"/>
      <c r="C77" s="52"/>
      <c r="D77" s="52"/>
      <c r="E77" s="52"/>
      <c r="F77" s="63"/>
      <c r="G77" s="51"/>
      <c r="H77" s="24"/>
      <c r="I77" s="24"/>
      <c r="J77" s="24"/>
      <c r="K77" s="24"/>
      <c r="L77" s="24"/>
      <c r="M77" s="24"/>
      <c r="N77" s="24"/>
      <c r="O77" s="24">
        <v>2089.34</v>
      </c>
      <c r="P77" s="24"/>
      <c r="Q77" s="13"/>
      <c r="R77" s="24"/>
      <c r="S77" s="13"/>
      <c r="T77" s="22">
        <v>0</v>
      </c>
    </row>
    <row r="78" spans="1:20" hidden="1">
      <c r="A78" s="62" t="s">
        <v>89</v>
      </c>
      <c r="B78" s="52">
        <v>1747.37</v>
      </c>
      <c r="C78" s="52">
        <v>1571.28</v>
      </c>
      <c r="D78" s="52">
        <v>1577.83</v>
      </c>
      <c r="E78" s="52">
        <v>1600</v>
      </c>
      <c r="F78" s="63">
        <v>1578</v>
      </c>
      <c r="G78" s="51">
        <f>SUM(H78-F78)</f>
        <v>422</v>
      </c>
      <c r="H78" s="24">
        <v>2000</v>
      </c>
      <c r="I78" s="24">
        <v>1762.97</v>
      </c>
      <c r="J78" s="24">
        <v>2000</v>
      </c>
      <c r="K78" s="24">
        <v>1762.97</v>
      </c>
      <c r="L78" s="24">
        <v>2124.36</v>
      </c>
      <c r="M78" s="24">
        <v>2000</v>
      </c>
      <c r="N78" s="24">
        <v>2000</v>
      </c>
      <c r="O78" s="24">
        <v>2124.36</v>
      </c>
      <c r="P78" s="24">
        <v>2125</v>
      </c>
      <c r="Q78" s="13">
        <f t="shared" si="9"/>
        <v>0</v>
      </c>
      <c r="R78" s="24">
        <v>2125</v>
      </c>
      <c r="S78" s="13">
        <f t="shared" si="9"/>
        <v>0</v>
      </c>
      <c r="T78" s="22">
        <v>2125</v>
      </c>
    </row>
    <row r="79" spans="1:20" hidden="1">
      <c r="A79" s="62" t="s">
        <v>90</v>
      </c>
      <c r="B79" s="52">
        <v>4005.61</v>
      </c>
      <c r="C79" s="52">
        <v>4676.46</v>
      </c>
      <c r="D79" s="52">
        <v>5112.8999999999996</v>
      </c>
      <c r="E79" s="52">
        <v>4600</v>
      </c>
      <c r="F79" s="63">
        <v>2042</v>
      </c>
      <c r="G79" s="51">
        <f>SUM(H79-F79)</f>
        <v>958</v>
      </c>
      <c r="H79" s="24">
        <v>3000</v>
      </c>
      <c r="I79" s="24">
        <v>2088.7399999999998</v>
      </c>
      <c r="J79" s="24">
        <v>2000</v>
      </c>
      <c r="K79" s="24">
        <v>2088.7399999999998</v>
      </c>
      <c r="L79" s="24">
        <v>2008.5</v>
      </c>
      <c r="M79" s="24">
        <v>4000</v>
      </c>
      <c r="N79" s="24">
        <v>2000</v>
      </c>
      <c r="O79" s="24">
        <v>2010.97</v>
      </c>
      <c r="P79" s="24">
        <v>1300</v>
      </c>
      <c r="Q79" s="13">
        <f t="shared" si="9"/>
        <v>0</v>
      </c>
      <c r="R79" s="24">
        <v>1300</v>
      </c>
      <c r="S79" s="13">
        <f t="shared" si="9"/>
        <v>0</v>
      </c>
      <c r="T79" s="22">
        <v>1300</v>
      </c>
    </row>
    <row r="80" spans="1:20" hidden="1">
      <c r="A80" s="62" t="s">
        <v>91</v>
      </c>
      <c r="B80" s="52">
        <v>1664.95</v>
      </c>
      <c r="C80" s="52">
        <v>2421</v>
      </c>
      <c r="D80" s="52">
        <v>9174.85</v>
      </c>
      <c r="E80" s="52">
        <v>7868</v>
      </c>
      <c r="F80" s="63">
        <v>5937</v>
      </c>
      <c r="G80" s="51">
        <f>SUM(H80-F80)</f>
        <v>1063</v>
      </c>
      <c r="H80" s="24">
        <v>7000</v>
      </c>
      <c r="I80" s="24">
        <v>10467.58</v>
      </c>
      <c r="J80" s="24">
        <v>7000</v>
      </c>
      <c r="K80" s="24">
        <v>10467.58</v>
      </c>
      <c r="L80" s="24">
        <v>8344.36</v>
      </c>
      <c r="M80" s="24">
        <v>6000</v>
      </c>
      <c r="N80" s="24">
        <v>8000</v>
      </c>
      <c r="O80" s="24">
        <v>4050.8</v>
      </c>
      <c r="P80" s="24">
        <v>6000</v>
      </c>
      <c r="Q80" s="13">
        <f t="shared" si="9"/>
        <v>-1000</v>
      </c>
      <c r="R80" s="24">
        <v>5000</v>
      </c>
      <c r="S80" s="13">
        <f t="shared" si="9"/>
        <v>-5000</v>
      </c>
      <c r="T80" s="22"/>
    </row>
    <row r="81" spans="1:20" hidden="1">
      <c r="A81" s="62" t="s">
        <v>92</v>
      </c>
      <c r="B81" s="52"/>
      <c r="C81" s="52"/>
      <c r="D81" s="52"/>
      <c r="E81" s="52"/>
      <c r="F81" s="63"/>
      <c r="G81" s="51"/>
      <c r="H81" s="24"/>
      <c r="I81" s="24"/>
      <c r="J81" s="24"/>
      <c r="K81" s="24"/>
      <c r="L81" s="24"/>
      <c r="M81" s="24"/>
      <c r="N81" s="24"/>
      <c r="O81" s="24"/>
      <c r="P81" s="24"/>
      <c r="Q81" s="13"/>
      <c r="R81" s="24"/>
      <c r="S81" s="13"/>
      <c r="T81" s="22">
        <v>1000</v>
      </c>
    </row>
    <row r="82" spans="1:20" hidden="1">
      <c r="A82" s="62" t="s">
        <v>93</v>
      </c>
      <c r="B82" s="52"/>
      <c r="C82" s="52"/>
      <c r="D82" s="52"/>
      <c r="E82" s="52"/>
      <c r="F82" s="63"/>
      <c r="G82" s="51"/>
      <c r="H82" s="24"/>
      <c r="I82" s="24"/>
      <c r="J82" s="24"/>
      <c r="K82" s="24"/>
      <c r="L82" s="24"/>
      <c r="M82" s="24"/>
      <c r="N82" s="24"/>
      <c r="O82" s="24"/>
      <c r="P82" s="24"/>
      <c r="Q82" s="13"/>
      <c r="R82" s="24"/>
      <c r="S82" s="13"/>
      <c r="T82" s="22">
        <v>4000</v>
      </c>
    </row>
    <row r="83" spans="1:20" hidden="1">
      <c r="A83" s="65" t="s">
        <v>94</v>
      </c>
      <c r="B83" s="66">
        <v>40.82</v>
      </c>
      <c r="C83" s="66">
        <v>-0.04</v>
      </c>
      <c r="D83" s="66">
        <v>84.7</v>
      </c>
      <c r="E83" s="66">
        <v>100</v>
      </c>
      <c r="F83" s="67">
        <v>77</v>
      </c>
      <c r="G83" s="68">
        <f>SUM(H83-F83)</f>
        <v>23</v>
      </c>
      <c r="H83" s="31">
        <v>100</v>
      </c>
      <c r="I83" s="31">
        <v>105.15</v>
      </c>
      <c r="J83" s="31">
        <v>100</v>
      </c>
      <c r="K83" s="31">
        <v>-2.27</v>
      </c>
      <c r="L83" s="31">
        <v>571.47</v>
      </c>
      <c r="M83" s="31">
        <v>0</v>
      </c>
      <c r="N83" s="31">
        <v>0</v>
      </c>
      <c r="O83" s="31">
        <v>25</v>
      </c>
      <c r="P83" s="31">
        <v>0</v>
      </c>
      <c r="Q83" s="30">
        <f t="shared" si="9"/>
        <v>0</v>
      </c>
      <c r="R83" s="31">
        <v>0</v>
      </c>
      <c r="S83" s="30">
        <f t="shared" si="9"/>
        <v>0</v>
      </c>
      <c r="T83" s="32">
        <v>0</v>
      </c>
    </row>
    <row r="84" spans="1:20" hidden="1">
      <c r="A84" s="69" t="s">
        <v>95</v>
      </c>
      <c r="B84" s="70"/>
      <c r="C84" s="71"/>
      <c r="D84" s="71"/>
      <c r="E84" s="71"/>
      <c r="F84" s="72"/>
      <c r="G84" s="51"/>
      <c r="H84" s="73"/>
      <c r="I84" s="73"/>
      <c r="J84" s="73"/>
      <c r="K84" s="73">
        <v>0</v>
      </c>
      <c r="L84" s="73">
        <v>5750.48</v>
      </c>
      <c r="M84" s="73">
        <v>6300</v>
      </c>
      <c r="N84" s="73"/>
      <c r="O84" s="73"/>
      <c r="P84" s="73"/>
      <c r="Q84" s="13">
        <f t="shared" si="9"/>
        <v>0</v>
      </c>
      <c r="R84" s="73"/>
      <c r="S84" s="13"/>
      <c r="T84" s="74"/>
    </row>
    <row r="85" spans="1:20" hidden="1">
      <c r="A85" s="75" t="s">
        <v>96</v>
      </c>
      <c r="B85" s="70"/>
      <c r="C85" s="71"/>
      <c r="D85" s="71"/>
      <c r="E85" s="71"/>
      <c r="F85" s="72"/>
      <c r="G85" s="51"/>
      <c r="H85" s="73"/>
      <c r="I85" s="73"/>
      <c r="J85" s="73"/>
      <c r="K85" s="73">
        <v>6007.09</v>
      </c>
      <c r="L85" s="73"/>
      <c r="M85" s="73"/>
      <c r="N85" s="24">
        <v>6800</v>
      </c>
      <c r="O85" s="24">
        <v>6103.23</v>
      </c>
      <c r="P85" s="24">
        <v>6800</v>
      </c>
      <c r="Q85" s="13">
        <f t="shared" si="9"/>
        <v>0</v>
      </c>
      <c r="R85" s="24">
        <v>6800</v>
      </c>
      <c r="S85" s="13">
        <f t="shared" si="9"/>
        <v>0</v>
      </c>
      <c r="T85" s="22">
        <v>6800</v>
      </c>
    </row>
    <row r="86" spans="1:20" hidden="1">
      <c r="A86" s="75" t="s">
        <v>97</v>
      </c>
      <c r="B86" s="70"/>
      <c r="C86" s="71"/>
      <c r="D86" s="71"/>
      <c r="E86" s="71"/>
      <c r="F86" s="72"/>
      <c r="G86" s="51"/>
      <c r="H86" s="73"/>
      <c r="I86" s="73"/>
      <c r="J86" s="73"/>
      <c r="K86" s="73">
        <v>0</v>
      </c>
      <c r="L86" s="73">
        <v>3720</v>
      </c>
      <c r="M86" s="73"/>
      <c r="N86" s="73">
        <v>4000</v>
      </c>
      <c r="O86" s="73">
        <v>4030</v>
      </c>
      <c r="P86" s="73">
        <v>4000</v>
      </c>
      <c r="Q86" s="13">
        <f t="shared" si="9"/>
        <v>0</v>
      </c>
      <c r="R86" s="73">
        <v>4000</v>
      </c>
      <c r="S86" s="13">
        <f t="shared" si="9"/>
        <v>0</v>
      </c>
      <c r="T86" s="74">
        <v>4000</v>
      </c>
    </row>
    <row r="87" spans="1:20" hidden="1">
      <c r="A87" s="62" t="s">
        <v>98</v>
      </c>
      <c r="B87" s="52">
        <v>867.15</v>
      </c>
      <c r="C87" s="52">
        <v>886.05</v>
      </c>
      <c r="D87" s="52">
        <v>438.55</v>
      </c>
      <c r="E87" s="52">
        <v>1000</v>
      </c>
      <c r="F87" s="63">
        <v>731</v>
      </c>
      <c r="G87" s="51">
        <f>SUM(H87-F87)</f>
        <v>269</v>
      </c>
      <c r="H87" s="24">
        <v>1000</v>
      </c>
      <c r="I87" s="24">
        <v>1001.9</v>
      </c>
      <c r="J87" s="24">
        <v>1000</v>
      </c>
      <c r="K87" s="24">
        <v>1001.9</v>
      </c>
      <c r="L87" s="24">
        <v>1456.25</v>
      </c>
      <c r="M87" s="24">
        <v>1000</v>
      </c>
      <c r="N87" s="24">
        <v>1500</v>
      </c>
      <c r="O87" s="24">
        <v>1632.65</v>
      </c>
      <c r="P87" s="24">
        <v>1500</v>
      </c>
      <c r="Q87" s="13">
        <f t="shared" si="9"/>
        <v>-500</v>
      </c>
      <c r="R87" s="24">
        <v>1000</v>
      </c>
      <c r="S87" s="13">
        <f t="shared" si="9"/>
        <v>-500</v>
      </c>
      <c r="T87" s="22">
        <v>500</v>
      </c>
    </row>
    <row r="88" spans="1:20" hidden="1">
      <c r="A88" s="62" t="s">
        <v>99</v>
      </c>
      <c r="B88" s="52"/>
      <c r="C88" s="52"/>
      <c r="D88" s="52"/>
      <c r="E88" s="52"/>
      <c r="F88" s="63"/>
      <c r="G88" s="51"/>
      <c r="H88" s="24"/>
      <c r="I88" s="24"/>
      <c r="J88" s="24"/>
      <c r="K88" s="24"/>
      <c r="L88" s="24"/>
      <c r="M88" s="24"/>
      <c r="N88" s="24"/>
      <c r="O88" s="24">
        <v>1547.02</v>
      </c>
      <c r="P88" s="73">
        <v>1550</v>
      </c>
      <c r="Q88" s="13">
        <f>SUM(R88-P88)</f>
        <v>0</v>
      </c>
      <c r="R88" s="73">
        <v>1550</v>
      </c>
      <c r="S88" s="13">
        <f>SUM(T88-R88)</f>
        <v>1100</v>
      </c>
      <c r="T88" s="74">
        <v>2650</v>
      </c>
    </row>
    <row r="89" spans="1:20" hidden="1">
      <c r="A89" s="62" t="s">
        <v>100</v>
      </c>
      <c r="B89" s="52"/>
      <c r="C89" s="52"/>
      <c r="D89" s="52">
        <v>418.8</v>
      </c>
      <c r="E89" s="52">
        <v>400</v>
      </c>
      <c r="F89" s="63">
        <v>195</v>
      </c>
      <c r="G89" s="51">
        <f>SUM(H89-F89)</f>
        <v>205</v>
      </c>
      <c r="H89" s="24">
        <v>400</v>
      </c>
      <c r="I89" s="24">
        <v>665.63</v>
      </c>
      <c r="J89" s="24">
        <v>0</v>
      </c>
      <c r="K89" s="24"/>
      <c r="L89" s="24">
        <v>115.36</v>
      </c>
      <c r="M89" s="24">
        <v>100</v>
      </c>
      <c r="N89" s="24">
        <v>100</v>
      </c>
      <c r="O89" s="24"/>
      <c r="P89" s="24">
        <v>100</v>
      </c>
      <c r="Q89" s="13">
        <f t="shared" si="9"/>
        <v>0</v>
      </c>
      <c r="R89" s="24">
        <v>100</v>
      </c>
      <c r="S89" s="13">
        <f t="shared" si="9"/>
        <v>400</v>
      </c>
      <c r="T89" s="22">
        <v>500</v>
      </c>
    </row>
    <row r="90" spans="1:20">
      <c r="A90" s="38" t="s">
        <v>101</v>
      </c>
      <c r="B90" s="76"/>
      <c r="C90" s="76"/>
      <c r="D90" s="76"/>
      <c r="E90" s="76"/>
      <c r="F90" s="77"/>
      <c r="G90" s="41"/>
      <c r="H90" s="43"/>
      <c r="I90" s="43"/>
      <c r="J90" s="43"/>
      <c r="K90" s="42">
        <f t="shared" ref="K90:P90" si="11">SUM(K71:K89)</f>
        <v>28680.300000000003</v>
      </c>
      <c r="L90" s="42">
        <f t="shared" si="11"/>
        <v>32824.870000000003</v>
      </c>
      <c r="M90" s="42">
        <f t="shared" si="11"/>
        <v>28500</v>
      </c>
      <c r="N90" s="42">
        <f t="shared" si="11"/>
        <v>35900</v>
      </c>
      <c r="O90" s="42">
        <f t="shared" si="11"/>
        <v>34591.089999999997</v>
      </c>
      <c r="P90" s="42">
        <f t="shared" si="11"/>
        <v>35175</v>
      </c>
      <c r="Q90" s="43">
        <f t="shared" si="9"/>
        <v>-650</v>
      </c>
      <c r="R90" s="42">
        <f>SUM(R71:R89)</f>
        <v>34525</v>
      </c>
      <c r="S90" s="43">
        <f t="shared" si="9"/>
        <v>900</v>
      </c>
      <c r="T90" s="44">
        <f>SUM(T71:T89)</f>
        <v>35425</v>
      </c>
    </row>
    <row r="91" spans="1:20">
      <c r="A91" s="62"/>
      <c r="B91" s="52"/>
      <c r="C91" s="52"/>
      <c r="D91" s="52"/>
      <c r="E91" s="52"/>
      <c r="F91" s="63"/>
      <c r="G91" s="51"/>
      <c r="H91" s="24"/>
      <c r="I91" s="24"/>
      <c r="J91" s="24"/>
      <c r="K91" s="24"/>
      <c r="L91" s="24"/>
      <c r="M91" s="24"/>
      <c r="N91" s="24"/>
      <c r="O91" s="24"/>
      <c r="P91" s="24"/>
      <c r="Q91" s="13"/>
      <c r="R91" s="24"/>
      <c r="S91" s="13"/>
      <c r="T91" s="22"/>
    </row>
    <row r="92" spans="1:20" ht="25.5">
      <c r="A92" s="78" t="s">
        <v>102</v>
      </c>
      <c r="B92" s="52"/>
      <c r="C92" s="52"/>
      <c r="D92" s="52"/>
      <c r="E92" s="52"/>
      <c r="F92" s="63"/>
      <c r="G92" s="51"/>
      <c r="H92" s="24"/>
      <c r="I92" s="24"/>
      <c r="J92" s="24"/>
      <c r="K92" s="24"/>
      <c r="L92" s="24"/>
      <c r="M92" s="24"/>
      <c r="N92" s="24"/>
      <c r="O92" s="24"/>
      <c r="P92" s="24"/>
      <c r="Q92" s="13"/>
      <c r="R92" s="24"/>
      <c r="S92" s="13"/>
      <c r="T92" s="22"/>
    </row>
    <row r="93" spans="1:20" hidden="1">
      <c r="A93" s="62" t="s">
        <v>103</v>
      </c>
      <c r="B93" s="52">
        <v>0</v>
      </c>
      <c r="C93" s="52">
        <v>643.94000000000005</v>
      </c>
      <c r="D93" s="52">
        <v>175</v>
      </c>
      <c r="E93" s="52">
        <v>1000</v>
      </c>
      <c r="F93" s="63">
        <v>270</v>
      </c>
      <c r="G93" s="51">
        <f t="shared" si="10"/>
        <v>1230</v>
      </c>
      <c r="H93" s="24">
        <v>1500</v>
      </c>
      <c r="I93" s="24">
        <v>90</v>
      </c>
      <c r="J93" s="24">
        <v>1000</v>
      </c>
      <c r="K93" s="24">
        <v>90</v>
      </c>
      <c r="L93" s="24">
        <v>17</v>
      </c>
      <c r="M93" s="24">
        <v>750</v>
      </c>
      <c r="N93" s="24">
        <v>4000</v>
      </c>
      <c r="O93" s="24">
        <v>400</v>
      </c>
      <c r="P93" s="24">
        <v>2000</v>
      </c>
      <c r="Q93" s="13">
        <f t="shared" ref="Q93:S98" si="12">SUM(R93-P93)</f>
        <v>0</v>
      </c>
      <c r="R93" s="24">
        <v>2000</v>
      </c>
      <c r="S93" s="13">
        <f t="shared" si="12"/>
        <v>-1000</v>
      </c>
      <c r="T93" s="22">
        <v>1000</v>
      </c>
    </row>
    <row r="94" spans="1:20" hidden="1">
      <c r="A94" s="62" t="s">
        <v>104</v>
      </c>
      <c r="B94" s="52">
        <v>19842</v>
      </c>
      <c r="C94" s="52">
        <v>20232</v>
      </c>
      <c r="D94" s="52">
        <v>20650</v>
      </c>
      <c r="E94" s="52">
        <v>20650</v>
      </c>
      <c r="F94" s="63">
        <v>22024</v>
      </c>
      <c r="G94" s="51">
        <f t="shared" si="10"/>
        <v>-540</v>
      </c>
      <c r="H94" s="24">
        <v>21484</v>
      </c>
      <c r="I94" s="24">
        <v>21925</v>
      </c>
      <c r="J94" s="24">
        <v>21925</v>
      </c>
      <c r="K94" s="24">
        <v>21925</v>
      </c>
      <c r="L94" s="24">
        <v>16098.99</v>
      </c>
      <c r="M94" s="24">
        <v>16500</v>
      </c>
      <c r="N94" s="24">
        <v>17040</v>
      </c>
      <c r="O94" s="24">
        <v>18935</v>
      </c>
      <c r="P94" s="24">
        <v>17040</v>
      </c>
      <c r="Q94" s="13">
        <f t="shared" si="12"/>
        <v>3960</v>
      </c>
      <c r="R94" s="24">
        <v>21000</v>
      </c>
      <c r="S94" s="13">
        <f t="shared" si="12"/>
        <v>1000</v>
      </c>
      <c r="T94" s="22">
        <v>22000</v>
      </c>
    </row>
    <row r="95" spans="1:20" hidden="1">
      <c r="A95" s="79" t="s">
        <v>105</v>
      </c>
      <c r="B95" s="66">
        <v>0</v>
      </c>
      <c r="C95" s="66"/>
      <c r="D95" s="66">
        <v>424.2</v>
      </c>
      <c r="E95" s="66">
        <v>2500</v>
      </c>
      <c r="F95" s="67">
        <v>5102</v>
      </c>
      <c r="G95" s="68">
        <f t="shared" si="10"/>
        <v>898</v>
      </c>
      <c r="H95" s="31">
        <v>6000</v>
      </c>
      <c r="I95" s="31">
        <v>4320</v>
      </c>
      <c r="J95" s="31">
        <v>5000</v>
      </c>
      <c r="K95" s="31">
        <v>4320</v>
      </c>
      <c r="L95" s="31">
        <v>363</v>
      </c>
      <c r="M95" s="31">
        <v>5000</v>
      </c>
      <c r="N95" s="31">
        <v>0</v>
      </c>
      <c r="O95" s="31"/>
      <c r="P95" s="31">
        <v>0</v>
      </c>
      <c r="Q95" s="30">
        <f t="shared" si="12"/>
        <v>0</v>
      </c>
      <c r="R95" s="31">
        <v>0</v>
      </c>
      <c r="S95" s="30">
        <f t="shared" si="12"/>
        <v>0</v>
      </c>
      <c r="T95" s="32">
        <v>0</v>
      </c>
    </row>
    <row r="96" spans="1:20" hidden="1">
      <c r="A96" s="62" t="s">
        <v>106</v>
      </c>
      <c r="B96" s="52">
        <v>9200</v>
      </c>
      <c r="C96" s="52">
        <v>10700</v>
      </c>
      <c r="D96" s="52">
        <v>12200</v>
      </c>
      <c r="E96" s="52">
        <v>12000</v>
      </c>
      <c r="F96" s="63">
        <v>21618</v>
      </c>
      <c r="G96" s="51">
        <f t="shared" si="10"/>
        <v>-8618</v>
      </c>
      <c r="H96" s="24">
        <v>13000</v>
      </c>
      <c r="I96" s="24">
        <v>16000</v>
      </c>
      <c r="J96" s="24">
        <v>15000</v>
      </c>
      <c r="K96" s="24">
        <v>16000</v>
      </c>
      <c r="L96" s="24">
        <v>18250</v>
      </c>
      <c r="M96" s="24">
        <v>16500</v>
      </c>
      <c r="N96" s="24">
        <v>20100</v>
      </c>
      <c r="O96" s="24">
        <v>20500</v>
      </c>
      <c r="P96" s="24">
        <v>20500</v>
      </c>
      <c r="Q96" s="13">
        <f t="shared" si="12"/>
        <v>3000</v>
      </c>
      <c r="R96" s="24">
        <v>23500</v>
      </c>
      <c r="S96" s="13">
        <f t="shared" si="12"/>
        <v>1500</v>
      </c>
      <c r="T96" s="22">
        <v>25000</v>
      </c>
    </row>
    <row r="97" spans="1:20" hidden="1">
      <c r="A97" s="33" t="s">
        <v>107</v>
      </c>
      <c r="B97" s="27">
        <v>579</v>
      </c>
      <c r="C97" s="27">
        <v>667.25</v>
      </c>
      <c r="D97" s="27">
        <v>2686.2</v>
      </c>
      <c r="E97" s="27">
        <v>800</v>
      </c>
      <c r="F97" s="28">
        <v>1377</v>
      </c>
      <c r="G97" s="29" t="e">
        <f>SUM(H97-#REF!)</f>
        <v>#REF!</v>
      </c>
      <c r="H97" s="30">
        <v>1000</v>
      </c>
      <c r="I97" s="30"/>
      <c r="J97" s="30">
        <v>0</v>
      </c>
      <c r="K97" s="80"/>
      <c r="L97" s="30"/>
      <c r="M97" s="30">
        <v>0</v>
      </c>
      <c r="N97" s="30">
        <v>0</v>
      </c>
      <c r="O97" s="30"/>
      <c r="P97" s="30">
        <v>0</v>
      </c>
      <c r="Q97" s="13">
        <f t="shared" si="12"/>
        <v>0</v>
      </c>
      <c r="R97" s="30">
        <v>0</v>
      </c>
      <c r="S97" s="13">
        <f t="shared" si="12"/>
        <v>0</v>
      </c>
      <c r="T97" s="32">
        <v>0</v>
      </c>
    </row>
    <row r="98" spans="1:20">
      <c r="A98" s="38" t="s">
        <v>108</v>
      </c>
      <c r="B98" s="81"/>
      <c r="C98" s="81"/>
      <c r="D98" s="81"/>
      <c r="E98" s="81"/>
      <c r="F98" s="82"/>
      <c r="G98" s="83"/>
      <c r="H98" s="80"/>
      <c r="I98" s="80"/>
      <c r="J98" s="80"/>
      <c r="K98" s="42">
        <f>SUM(K93:K96)</f>
        <v>42335</v>
      </c>
      <c r="L98" s="42">
        <f>SUM(L93:L96)</f>
        <v>34728.99</v>
      </c>
      <c r="M98" s="42">
        <f>SUM(M93:M96)</f>
        <v>38750</v>
      </c>
      <c r="N98" s="42">
        <f t="shared" ref="N98:P98" si="13">SUM(N93:N96)</f>
        <v>41140</v>
      </c>
      <c r="O98" s="42">
        <f>SUM(O93:O96)</f>
        <v>39835</v>
      </c>
      <c r="P98" s="42">
        <f t="shared" si="13"/>
        <v>39540</v>
      </c>
      <c r="Q98" s="43">
        <f t="shared" si="12"/>
        <v>6960</v>
      </c>
      <c r="R98" s="42">
        <f t="shared" ref="R98" si="14">SUM(R93:R96)</f>
        <v>46500</v>
      </c>
      <c r="S98" s="43">
        <f t="shared" si="12"/>
        <v>1500</v>
      </c>
      <c r="T98" s="44">
        <f t="shared" ref="T98" si="15">SUM(T93:T96)</f>
        <v>48000</v>
      </c>
    </row>
    <row r="99" spans="1:20">
      <c r="A99" s="33"/>
      <c r="B99" s="27"/>
      <c r="C99" s="27"/>
      <c r="D99" s="27"/>
      <c r="E99" s="27"/>
      <c r="F99" s="28"/>
      <c r="G99" s="29"/>
      <c r="H99" s="30"/>
      <c r="I99" s="30"/>
      <c r="J99" s="30"/>
      <c r="K99" s="30"/>
      <c r="L99" s="30"/>
      <c r="M99" s="30"/>
      <c r="N99" s="30"/>
      <c r="O99" s="30"/>
      <c r="P99" s="30"/>
      <c r="Q99" s="13"/>
      <c r="R99" s="30"/>
      <c r="S99" s="13"/>
      <c r="T99" s="32"/>
    </row>
    <row r="100" spans="1:20" ht="25.5">
      <c r="A100" s="10" t="s">
        <v>109</v>
      </c>
      <c r="B100" s="27"/>
      <c r="C100" s="27"/>
      <c r="D100" s="27"/>
      <c r="E100" s="27"/>
      <c r="F100" s="28"/>
      <c r="G100" s="29"/>
      <c r="H100" s="30"/>
      <c r="I100" s="30"/>
      <c r="J100" s="30"/>
      <c r="K100" s="30"/>
      <c r="L100" s="30"/>
      <c r="M100" s="30"/>
      <c r="N100" s="30"/>
      <c r="O100" s="30"/>
      <c r="P100" s="30"/>
      <c r="Q100" s="13"/>
      <c r="R100" s="31"/>
      <c r="S100" s="13"/>
      <c r="T100" s="32"/>
    </row>
    <row r="101" spans="1:20" hidden="1">
      <c r="A101" s="62" t="s">
        <v>110</v>
      </c>
      <c r="B101" s="52">
        <v>2279.5500000000002</v>
      </c>
      <c r="C101" s="52">
        <v>3443.71</v>
      </c>
      <c r="D101" s="52">
        <v>3929.48</v>
      </c>
      <c r="E101" s="52">
        <v>3500</v>
      </c>
      <c r="F101" s="63">
        <v>5662</v>
      </c>
      <c r="G101" s="51">
        <f>SUM(H101-F101)</f>
        <v>338</v>
      </c>
      <c r="H101" s="24">
        <v>6000</v>
      </c>
      <c r="I101" s="24">
        <v>6026.85</v>
      </c>
      <c r="J101" s="24">
        <v>5000</v>
      </c>
      <c r="K101" s="24">
        <v>6026.85</v>
      </c>
      <c r="L101" s="24">
        <v>4495.83</v>
      </c>
      <c r="M101" s="24">
        <v>5000</v>
      </c>
      <c r="N101" s="24">
        <v>5000</v>
      </c>
      <c r="O101" s="24">
        <v>3916.43</v>
      </c>
      <c r="P101" s="24">
        <v>4000</v>
      </c>
      <c r="Q101" s="13">
        <f t="shared" ref="Q101:S113" si="16">SUM(R101-P101)</f>
        <v>-500</v>
      </c>
      <c r="R101" s="24">
        <v>3500</v>
      </c>
      <c r="S101" s="13">
        <f t="shared" si="16"/>
        <v>500</v>
      </c>
      <c r="T101" s="22">
        <v>4000</v>
      </c>
    </row>
    <row r="102" spans="1:20" hidden="1">
      <c r="A102" s="79" t="s">
        <v>111</v>
      </c>
      <c r="B102" s="52"/>
      <c r="C102" s="52"/>
      <c r="D102" s="52"/>
      <c r="E102" s="52"/>
      <c r="F102" s="63"/>
      <c r="G102" s="51">
        <f>SUM(H102-F102)</f>
        <v>0</v>
      </c>
      <c r="H102" s="24"/>
      <c r="I102" s="24"/>
      <c r="J102" s="24">
        <v>0</v>
      </c>
      <c r="K102" s="24"/>
      <c r="L102" s="24"/>
      <c r="M102" s="24"/>
      <c r="N102" s="24">
        <v>0</v>
      </c>
      <c r="O102" s="24"/>
      <c r="P102" s="24">
        <v>0</v>
      </c>
      <c r="Q102" s="13">
        <f t="shared" si="16"/>
        <v>0</v>
      </c>
      <c r="R102" s="24">
        <v>0</v>
      </c>
      <c r="S102" s="13">
        <f t="shared" si="16"/>
        <v>0</v>
      </c>
      <c r="T102" s="22">
        <v>0</v>
      </c>
    </row>
    <row r="103" spans="1:20" hidden="1">
      <c r="A103" s="62" t="s">
        <v>112</v>
      </c>
      <c r="B103" s="52">
        <v>811</v>
      </c>
      <c r="C103" s="52">
        <v>564.21</v>
      </c>
      <c r="D103" s="52">
        <v>2827.93</v>
      </c>
      <c r="E103" s="52">
        <v>1500</v>
      </c>
      <c r="F103" s="63">
        <v>1341</v>
      </c>
      <c r="G103" s="51">
        <f>SUM(H103-F103)</f>
        <v>-341</v>
      </c>
      <c r="H103" s="24">
        <v>1000</v>
      </c>
      <c r="I103" s="24">
        <v>1178.3</v>
      </c>
      <c r="J103" s="24">
        <v>1000</v>
      </c>
      <c r="K103" s="24">
        <v>1178.3</v>
      </c>
      <c r="L103" s="24">
        <v>1531.6</v>
      </c>
      <c r="M103" s="24">
        <v>1000</v>
      </c>
      <c r="N103" s="24">
        <v>1750</v>
      </c>
      <c r="O103" s="24">
        <v>826.02</v>
      </c>
      <c r="P103" s="24">
        <v>1500</v>
      </c>
      <c r="Q103" s="13">
        <f t="shared" si="16"/>
        <v>-500</v>
      </c>
      <c r="R103" s="24">
        <v>1000</v>
      </c>
      <c r="S103" s="13">
        <f t="shared" si="16"/>
        <v>0</v>
      </c>
      <c r="T103" s="22">
        <v>1000</v>
      </c>
    </row>
    <row r="104" spans="1:20" hidden="1">
      <c r="A104" s="79" t="s">
        <v>113</v>
      </c>
      <c r="B104" s="66"/>
      <c r="C104" s="66"/>
      <c r="D104" s="66"/>
      <c r="E104" s="66"/>
      <c r="F104" s="67"/>
      <c r="G104" s="68"/>
      <c r="H104" s="31"/>
      <c r="I104" s="31"/>
      <c r="J104" s="31"/>
      <c r="K104" s="31">
        <v>600</v>
      </c>
      <c r="L104" s="31"/>
      <c r="M104" s="31"/>
      <c r="N104" s="31"/>
      <c r="O104" s="31"/>
      <c r="P104" s="31"/>
      <c r="Q104" s="30">
        <f t="shared" si="16"/>
        <v>0</v>
      </c>
      <c r="R104" s="31"/>
      <c r="S104" s="30">
        <f t="shared" si="16"/>
        <v>0</v>
      </c>
      <c r="T104" s="32"/>
    </row>
    <row r="105" spans="1:20" hidden="1">
      <c r="A105" s="62" t="s">
        <v>114</v>
      </c>
      <c r="B105" s="52"/>
      <c r="C105" s="52"/>
      <c r="D105" s="52"/>
      <c r="E105" s="52"/>
      <c r="F105" s="63"/>
      <c r="G105" s="51"/>
      <c r="H105" s="24"/>
      <c r="I105" s="24"/>
      <c r="J105" s="24"/>
      <c r="K105" s="24"/>
      <c r="L105" s="24"/>
      <c r="M105" s="24"/>
      <c r="N105" s="24"/>
      <c r="O105" s="24">
        <v>1075</v>
      </c>
      <c r="P105" s="24"/>
      <c r="Q105" s="13"/>
      <c r="R105" s="24"/>
      <c r="S105" s="13"/>
      <c r="T105" s="22">
        <v>0</v>
      </c>
    </row>
    <row r="106" spans="1:20" hidden="1">
      <c r="A106" s="62" t="s">
        <v>115</v>
      </c>
      <c r="B106" s="52">
        <v>14593.22</v>
      </c>
      <c r="C106" s="52">
        <v>14457.26</v>
      </c>
      <c r="D106" s="52">
        <v>13391.01</v>
      </c>
      <c r="E106" s="52">
        <v>19000</v>
      </c>
      <c r="F106" s="63">
        <v>8655</v>
      </c>
      <c r="G106" s="51">
        <f t="shared" ref="G106:G109" si="17">SUM(H106-F106)</f>
        <v>-155</v>
      </c>
      <c r="H106" s="24">
        <v>8500</v>
      </c>
      <c r="I106" s="24">
        <v>9444</v>
      </c>
      <c r="J106" s="24">
        <v>8700</v>
      </c>
      <c r="K106" s="24">
        <v>9444</v>
      </c>
      <c r="L106" s="24">
        <v>9553.4500000000007</v>
      </c>
      <c r="M106" s="24">
        <v>9900</v>
      </c>
      <c r="N106" s="24">
        <v>10000</v>
      </c>
      <c r="O106" s="24">
        <v>8968</v>
      </c>
      <c r="P106" s="24">
        <v>10000</v>
      </c>
      <c r="Q106" s="13">
        <f t="shared" si="16"/>
        <v>-500</v>
      </c>
      <c r="R106" s="24">
        <v>9500</v>
      </c>
      <c r="S106" s="13">
        <f t="shared" si="16"/>
        <v>1000</v>
      </c>
      <c r="T106" s="22">
        <v>10500</v>
      </c>
    </row>
    <row r="107" spans="1:20" hidden="1">
      <c r="A107" s="84" t="s">
        <v>116</v>
      </c>
      <c r="B107" s="52">
        <v>3334</v>
      </c>
      <c r="C107" s="52">
        <v>3963</v>
      </c>
      <c r="D107" s="52">
        <v>3963</v>
      </c>
      <c r="E107" s="52">
        <v>4500</v>
      </c>
      <c r="F107" s="63">
        <v>5448</v>
      </c>
      <c r="G107" s="51">
        <f t="shared" si="17"/>
        <v>302</v>
      </c>
      <c r="H107" s="24">
        <v>5750</v>
      </c>
      <c r="I107" s="24">
        <v>5887.93</v>
      </c>
      <c r="J107" s="24">
        <v>5500</v>
      </c>
      <c r="K107" s="24">
        <v>5887.93</v>
      </c>
      <c r="L107" s="24">
        <v>6150</v>
      </c>
      <c r="M107" s="24">
        <v>6450</v>
      </c>
      <c r="N107" s="24">
        <v>6450</v>
      </c>
      <c r="O107" s="24">
        <v>6396</v>
      </c>
      <c r="P107" s="24">
        <v>6450</v>
      </c>
      <c r="Q107" s="13">
        <f t="shared" si="16"/>
        <v>206</v>
      </c>
      <c r="R107" s="24">
        <v>6656</v>
      </c>
      <c r="S107" s="13">
        <f t="shared" si="16"/>
        <v>1732</v>
      </c>
      <c r="T107" s="22">
        <v>8388</v>
      </c>
    </row>
    <row r="108" spans="1:20" hidden="1">
      <c r="A108" s="84" t="s">
        <v>117</v>
      </c>
      <c r="B108" s="66">
        <v>6600</v>
      </c>
      <c r="C108" s="66">
        <v>6974.47</v>
      </c>
      <c r="D108" s="66">
        <v>1136.6400000000001</v>
      </c>
      <c r="E108" s="66">
        <v>1200</v>
      </c>
      <c r="F108" s="63">
        <v>2465</v>
      </c>
      <c r="G108" s="51">
        <f t="shared" si="17"/>
        <v>1335</v>
      </c>
      <c r="H108" s="24">
        <v>3800</v>
      </c>
      <c r="I108" s="24">
        <v>3810.1</v>
      </c>
      <c r="J108" s="24">
        <v>4000</v>
      </c>
      <c r="K108" s="24">
        <v>3810.1</v>
      </c>
      <c r="L108" s="24"/>
      <c r="M108" s="24">
        <v>4000</v>
      </c>
      <c r="N108" s="24">
        <v>0</v>
      </c>
      <c r="O108" s="24"/>
      <c r="P108" s="24">
        <v>0</v>
      </c>
      <c r="Q108" s="13">
        <f t="shared" si="16"/>
        <v>0</v>
      </c>
      <c r="R108" s="24"/>
      <c r="S108" s="13">
        <f t="shared" si="16"/>
        <v>0</v>
      </c>
      <c r="T108" s="22"/>
    </row>
    <row r="109" spans="1:20" hidden="1">
      <c r="A109" s="62" t="s">
        <v>118</v>
      </c>
      <c r="B109" s="52">
        <v>3722.77</v>
      </c>
      <c r="C109" s="52">
        <v>3865.45</v>
      </c>
      <c r="D109" s="52">
        <v>5321.03</v>
      </c>
      <c r="E109" s="52">
        <v>4500</v>
      </c>
      <c r="F109" s="63">
        <v>6896</v>
      </c>
      <c r="G109" s="51">
        <f t="shared" si="17"/>
        <v>-2396</v>
      </c>
      <c r="H109" s="24">
        <v>4500</v>
      </c>
      <c r="I109" s="24">
        <v>10116.33</v>
      </c>
      <c r="J109" s="24">
        <v>10000</v>
      </c>
      <c r="K109" s="24">
        <v>10116.33</v>
      </c>
      <c r="L109" s="24">
        <v>8202.0300000000007</v>
      </c>
      <c r="M109" s="24">
        <v>10000</v>
      </c>
      <c r="N109" s="24">
        <v>10000</v>
      </c>
      <c r="O109" s="24">
        <v>7468.09</v>
      </c>
      <c r="P109" s="24">
        <v>8000</v>
      </c>
      <c r="Q109" s="13">
        <f t="shared" si="16"/>
        <v>-1700</v>
      </c>
      <c r="R109" s="24">
        <v>6300</v>
      </c>
      <c r="S109" s="13">
        <f t="shared" si="16"/>
        <v>-100</v>
      </c>
      <c r="T109" s="22">
        <v>6200</v>
      </c>
    </row>
    <row r="110" spans="1:20" hidden="1">
      <c r="A110" s="69" t="s">
        <v>119</v>
      </c>
      <c r="B110" s="70"/>
      <c r="C110" s="71"/>
      <c r="D110" s="71"/>
      <c r="E110" s="71"/>
      <c r="F110" s="72">
        <v>1284</v>
      </c>
      <c r="G110" s="51"/>
      <c r="H110" s="73"/>
      <c r="I110" s="73"/>
      <c r="J110" s="73">
        <v>0</v>
      </c>
      <c r="K110" s="73">
        <v>0</v>
      </c>
      <c r="L110" s="73">
        <v>1324.05</v>
      </c>
      <c r="M110" s="73">
        <v>1300</v>
      </c>
      <c r="N110" s="73">
        <v>1400</v>
      </c>
      <c r="O110" s="73">
        <v>1324.05</v>
      </c>
      <c r="P110" s="73">
        <v>1350</v>
      </c>
      <c r="Q110" s="13">
        <f t="shared" si="16"/>
        <v>50</v>
      </c>
      <c r="R110" s="73">
        <v>1400</v>
      </c>
      <c r="S110" s="13">
        <f t="shared" si="16"/>
        <v>0</v>
      </c>
      <c r="T110" s="74">
        <v>1400</v>
      </c>
    </row>
    <row r="111" spans="1:20" hidden="1">
      <c r="A111" s="85" t="s">
        <v>120</v>
      </c>
      <c r="B111" s="86"/>
      <c r="C111" s="87"/>
      <c r="D111" s="87"/>
      <c r="E111" s="87"/>
      <c r="F111" s="88">
        <v>72</v>
      </c>
      <c r="G111" s="20"/>
      <c r="H111" s="89"/>
      <c r="I111" s="89">
        <v>99.05</v>
      </c>
      <c r="J111" s="89">
        <v>50</v>
      </c>
      <c r="K111" s="73"/>
      <c r="L111" s="89"/>
      <c r="M111" s="89"/>
      <c r="N111" s="89">
        <v>0</v>
      </c>
      <c r="O111" s="89"/>
      <c r="P111" s="89">
        <v>0</v>
      </c>
      <c r="Q111" s="13">
        <f t="shared" si="16"/>
        <v>0</v>
      </c>
      <c r="R111" s="89">
        <v>0</v>
      </c>
      <c r="S111" s="13">
        <f t="shared" si="16"/>
        <v>0</v>
      </c>
      <c r="T111" s="74">
        <v>0</v>
      </c>
    </row>
    <row r="112" spans="1:20" hidden="1">
      <c r="A112" s="85" t="s">
        <v>120</v>
      </c>
      <c r="B112" s="86"/>
      <c r="C112" s="87"/>
      <c r="D112" s="87"/>
      <c r="E112" s="87"/>
      <c r="F112" s="88"/>
      <c r="G112" s="20"/>
      <c r="H112" s="89"/>
      <c r="I112" s="89"/>
      <c r="J112" s="89"/>
      <c r="K112" s="89">
        <v>99.05</v>
      </c>
      <c r="L112" s="89"/>
      <c r="M112" s="89"/>
      <c r="N112" s="89"/>
      <c r="O112" s="89"/>
      <c r="P112" s="89"/>
      <c r="Q112" s="13">
        <f t="shared" si="16"/>
        <v>0</v>
      </c>
      <c r="R112" s="89"/>
      <c r="S112" s="13">
        <f t="shared" si="16"/>
        <v>0</v>
      </c>
      <c r="T112" s="74"/>
    </row>
    <row r="113" spans="1:20">
      <c r="A113" s="90" t="s">
        <v>121</v>
      </c>
      <c r="B113" s="91"/>
      <c r="C113" s="92"/>
      <c r="D113" s="92"/>
      <c r="E113" s="92"/>
      <c r="F113" s="93"/>
      <c r="G113" s="41"/>
      <c r="H113" s="94"/>
      <c r="I113" s="94"/>
      <c r="J113" s="94"/>
      <c r="K113" s="95">
        <f>SUM(K101:K112)</f>
        <v>37162.560000000005</v>
      </c>
      <c r="L113" s="95">
        <f>SUM(L101:L112)</f>
        <v>31256.960000000003</v>
      </c>
      <c r="M113" s="95">
        <f>SUM(M101:M110)</f>
        <v>37650</v>
      </c>
      <c r="N113" s="95">
        <f>SUM(N101:N110)</f>
        <v>34600</v>
      </c>
      <c r="O113" s="95">
        <f>SUM(O101:O112)</f>
        <v>29973.59</v>
      </c>
      <c r="P113" s="95">
        <f>SUM(P101:P110)</f>
        <v>31300</v>
      </c>
      <c r="Q113" s="43">
        <f t="shared" si="16"/>
        <v>-2944</v>
      </c>
      <c r="R113" s="95">
        <f>SUM(R101:R110)</f>
        <v>28356</v>
      </c>
      <c r="S113" s="43">
        <f t="shared" si="16"/>
        <v>3132</v>
      </c>
      <c r="T113" s="96">
        <f>SUM(T101:T110)</f>
        <v>31488</v>
      </c>
    </row>
    <row r="114" spans="1:20">
      <c r="A114" s="85"/>
      <c r="B114" s="86"/>
      <c r="C114" s="87"/>
      <c r="D114" s="87"/>
      <c r="E114" s="87"/>
      <c r="F114" s="88"/>
      <c r="G114" s="20"/>
      <c r="H114" s="89"/>
      <c r="I114" s="89"/>
      <c r="J114" s="89"/>
      <c r="K114" s="89"/>
      <c r="L114" s="89"/>
      <c r="M114" s="89"/>
      <c r="N114" s="89"/>
      <c r="O114" s="89"/>
      <c r="P114" s="89"/>
      <c r="Q114" s="13"/>
      <c r="R114" s="89"/>
      <c r="S114" s="13"/>
      <c r="T114" s="74"/>
    </row>
    <row r="115" spans="1:20">
      <c r="A115" s="10" t="s">
        <v>122</v>
      </c>
      <c r="B115" s="2"/>
      <c r="C115" s="2"/>
      <c r="D115" s="2"/>
      <c r="E115" s="18"/>
      <c r="F115" s="97"/>
      <c r="G115" s="20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24"/>
      <c r="S115" s="13"/>
      <c r="T115" s="22"/>
    </row>
    <row r="116" spans="1:20" hidden="1">
      <c r="A116" s="16" t="s">
        <v>123</v>
      </c>
      <c r="B116" s="18">
        <v>4911.63</v>
      </c>
      <c r="C116" s="18">
        <v>3416.89</v>
      </c>
      <c r="D116" s="18">
        <v>6514.93</v>
      </c>
      <c r="E116" s="18">
        <v>5000</v>
      </c>
      <c r="F116" s="23">
        <v>7699</v>
      </c>
      <c r="G116" s="20">
        <f>SUM(H116-F116)</f>
        <v>-699</v>
      </c>
      <c r="H116" s="13">
        <v>7000</v>
      </c>
      <c r="I116" s="13">
        <v>7684.9</v>
      </c>
      <c r="J116" s="13">
        <v>6000</v>
      </c>
      <c r="K116" s="13">
        <v>7591.9</v>
      </c>
      <c r="L116" s="13">
        <v>10210.43</v>
      </c>
      <c r="M116" s="13">
        <v>9000</v>
      </c>
      <c r="N116" s="13">
        <v>12000</v>
      </c>
      <c r="O116" s="13">
        <v>5690.44</v>
      </c>
      <c r="P116" s="13">
        <v>10000</v>
      </c>
      <c r="Q116" s="13">
        <f t="shared" ref="Q116:S124" si="18">SUM(R116-P116)</f>
        <v>-1000</v>
      </c>
      <c r="R116" s="24">
        <v>9000</v>
      </c>
      <c r="S116" s="13">
        <f t="shared" si="18"/>
        <v>-9000</v>
      </c>
      <c r="T116" s="22"/>
    </row>
    <row r="117" spans="1:20" hidden="1">
      <c r="A117" s="16" t="s">
        <v>124</v>
      </c>
      <c r="B117" s="18"/>
      <c r="C117" s="18"/>
      <c r="D117" s="18"/>
      <c r="E117" s="18"/>
      <c r="F117" s="23"/>
      <c r="G117" s="20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24"/>
      <c r="S117" s="13"/>
      <c r="T117" s="22">
        <v>1000</v>
      </c>
    </row>
    <row r="118" spans="1:20" hidden="1">
      <c r="A118" s="16" t="s">
        <v>125</v>
      </c>
      <c r="B118" s="18"/>
      <c r="C118" s="18"/>
      <c r="D118" s="18"/>
      <c r="E118" s="18"/>
      <c r="F118" s="23"/>
      <c r="G118" s="20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24"/>
      <c r="S118" s="13"/>
      <c r="T118" s="22">
        <v>5000</v>
      </c>
    </row>
    <row r="119" spans="1:20" hidden="1">
      <c r="A119" s="16" t="s">
        <v>126</v>
      </c>
      <c r="B119" s="18"/>
      <c r="C119" s="18"/>
      <c r="D119" s="18"/>
      <c r="E119" s="18"/>
      <c r="F119" s="23"/>
      <c r="G119" s="20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24"/>
      <c r="S119" s="13"/>
      <c r="T119" s="22">
        <v>500</v>
      </c>
    </row>
    <row r="120" spans="1:20" ht="25.5" hidden="1">
      <c r="A120" s="55" t="s">
        <v>127</v>
      </c>
      <c r="B120" s="18">
        <v>5587.97</v>
      </c>
      <c r="C120" s="18">
        <v>9521.5400000000009</v>
      </c>
      <c r="D120" s="18">
        <v>5126.5600000000004</v>
      </c>
      <c r="E120" s="18">
        <v>8500</v>
      </c>
      <c r="F120" s="23">
        <v>8451</v>
      </c>
      <c r="G120" s="20">
        <f>SUM(H120-F120)</f>
        <v>549</v>
      </c>
      <c r="H120" s="13">
        <v>9000</v>
      </c>
      <c r="I120" s="13">
        <v>5532.35</v>
      </c>
      <c r="J120" s="13">
        <v>6000</v>
      </c>
      <c r="K120" s="13">
        <v>5532.35</v>
      </c>
      <c r="L120" s="13">
        <v>560.04999999999995</v>
      </c>
      <c r="M120" s="13">
        <v>5000</v>
      </c>
      <c r="N120" s="13">
        <v>2500</v>
      </c>
      <c r="O120" s="13">
        <v>890</v>
      </c>
      <c r="P120" s="13">
        <v>2500</v>
      </c>
      <c r="Q120" s="13">
        <f t="shared" si="18"/>
        <v>-500</v>
      </c>
      <c r="R120" s="24">
        <v>2000</v>
      </c>
      <c r="S120" s="13">
        <f t="shared" si="18"/>
        <v>-800</v>
      </c>
      <c r="T120" s="22">
        <v>1200</v>
      </c>
    </row>
    <row r="121" spans="1:20" hidden="1">
      <c r="A121" s="16" t="s">
        <v>128</v>
      </c>
      <c r="B121" s="18">
        <v>752.21</v>
      </c>
      <c r="C121" s="18">
        <v>1199.48</v>
      </c>
      <c r="D121" s="18">
        <v>725.68</v>
      </c>
      <c r="E121" s="18">
        <v>900</v>
      </c>
      <c r="F121" s="23">
        <v>1269</v>
      </c>
      <c r="G121" s="20">
        <f>SUM(H121-F121)</f>
        <v>-1269</v>
      </c>
      <c r="H121" s="13">
        <v>0</v>
      </c>
      <c r="I121" s="13">
        <v>1619.27</v>
      </c>
      <c r="J121" s="13">
        <v>6000</v>
      </c>
      <c r="K121" s="13">
        <v>1619.27</v>
      </c>
      <c r="L121" s="13">
        <v>2768.19</v>
      </c>
      <c r="M121" s="13">
        <v>2000</v>
      </c>
      <c r="N121" s="13">
        <v>2000</v>
      </c>
      <c r="O121" s="13"/>
      <c r="P121" s="13">
        <v>2000</v>
      </c>
      <c r="Q121" s="13">
        <f t="shared" si="18"/>
        <v>500</v>
      </c>
      <c r="R121" s="13">
        <v>2500</v>
      </c>
      <c r="S121" s="13">
        <f t="shared" si="18"/>
        <v>-2500</v>
      </c>
      <c r="T121" s="22"/>
    </row>
    <row r="122" spans="1:20" hidden="1">
      <c r="A122" s="16" t="s">
        <v>129</v>
      </c>
      <c r="B122" s="18"/>
      <c r="C122" s="18"/>
      <c r="D122" s="18"/>
      <c r="E122" s="18"/>
      <c r="F122" s="23"/>
      <c r="G122" s="20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22">
        <v>2500</v>
      </c>
    </row>
    <row r="123" spans="1:20" hidden="1">
      <c r="A123" s="16" t="s">
        <v>130</v>
      </c>
      <c r="B123" s="18"/>
      <c r="C123" s="18"/>
      <c r="D123" s="18"/>
      <c r="E123" s="18"/>
      <c r="F123" s="23"/>
      <c r="G123" s="20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22">
        <v>1000</v>
      </c>
    </row>
    <row r="124" spans="1:20">
      <c r="A124" s="38" t="s">
        <v>131</v>
      </c>
      <c r="B124" s="39">
        <f t="shared" ref="B124:J124" si="19">SUM(B116:B120)</f>
        <v>10499.6</v>
      </c>
      <c r="C124" s="39">
        <f t="shared" si="19"/>
        <v>12938.43</v>
      </c>
      <c r="D124" s="39">
        <f t="shared" si="19"/>
        <v>11641.490000000002</v>
      </c>
      <c r="E124" s="39">
        <f t="shared" si="19"/>
        <v>13500</v>
      </c>
      <c r="F124" s="42">
        <f t="shared" si="19"/>
        <v>16150</v>
      </c>
      <c r="G124" s="61">
        <f t="shared" si="19"/>
        <v>-150</v>
      </c>
      <c r="H124" s="42">
        <f t="shared" si="19"/>
        <v>16000</v>
      </c>
      <c r="I124" s="42">
        <f t="shared" si="19"/>
        <v>13217.25</v>
      </c>
      <c r="J124" s="42">
        <f t="shared" si="19"/>
        <v>12000</v>
      </c>
      <c r="K124" s="42">
        <f t="shared" ref="K124:P124" si="20">SUM(K116:K121)</f>
        <v>14743.52</v>
      </c>
      <c r="L124" s="42">
        <f t="shared" si="20"/>
        <v>13538.67</v>
      </c>
      <c r="M124" s="42">
        <f t="shared" si="20"/>
        <v>16000</v>
      </c>
      <c r="N124" s="42">
        <f t="shared" si="20"/>
        <v>16500</v>
      </c>
      <c r="O124" s="42">
        <f t="shared" si="20"/>
        <v>6580.44</v>
      </c>
      <c r="P124" s="42">
        <f t="shared" si="20"/>
        <v>14500</v>
      </c>
      <c r="Q124" s="43">
        <f t="shared" si="18"/>
        <v>-1000</v>
      </c>
      <c r="R124" s="42">
        <f>SUM(R116:R121)</f>
        <v>13500</v>
      </c>
      <c r="S124" s="43">
        <f t="shared" si="18"/>
        <v>-3300</v>
      </c>
      <c r="T124" s="44">
        <f>SUM(T116:T122)</f>
        <v>10200</v>
      </c>
    </row>
    <row r="125" spans="1:20">
      <c r="A125" s="16"/>
      <c r="B125" s="17"/>
      <c r="C125" s="17"/>
      <c r="D125" s="17"/>
      <c r="E125" s="18"/>
      <c r="F125" s="19"/>
      <c r="G125" s="20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22"/>
    </row>
    <row r="126" spans="1:20">
      <c r="A126" s="10" t="s">
        <v>132</v>
      </c>
      <c r="B126" s="17"/>
      <c r="C126" s="17"/>
      <c r="D126" s="17"/>
      <c r="E126" s="18"/>
      <c r="F126" s="19"/>
      <c r="G126" s="20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24"/>
      <c r="S126" s="13"/>
      <c r="T126" s="22"/>
    </row>
    <row r="127" spans="1:20" hidden="1">
      <c r="A127" s="16" t="s">
        <v>133</v>
      </c>
      <c r="B127" s="18">
        <v>778.74</v>
      </c>
      <c r="C127" s="18">
        <v>195.72</v>
      </c>
      <c r="D127" s="18"/>
      <c r="E127" s="18">
        <v>1350</v>
      </c>
      <c r="F127" s="23">
        <v>693</v>
      </c>
      <c r="G127" s="20">
        <f>SUM(H127-F127)</f>
        <v>307</v>
      </c>
      <c r="H127" s="13">
        <v>1000</v>
      </c>
      <c r="I127" s="13">
        <v>741</v>
      </c>
      <c r="J127" s="13">
        <v>500</v>
      </c>
      <c r="K127" s="13">
        <v>741</v>
      </c>
      <c r="L127" s="13">
        <v>377.5</v>
      </c>
      <c r="M127" s="13">
        <v>500</v>
      </c>
      <c r="N127" s="13">
        <v>1000</v>
      </c>
      <c r="O127" s="13">
        <v>793.01</v>
      </c>
      <c r="P127" s="13">
        <v>250</v>
      </c>
      <c r="Q127" s="13">
        <f t="shared" ref="Q127:S133" si="21">SUM(R127-P127)</f>
        <v>500</v>
      </c>
      <c r="R127" s="24">
        <v>750</v>
      </c>
      <c r="S127" s="13">
        <f t="shared" si="21"/>
        <v>250</v>
      </c>
      <c r="T127" s="22">
        <v>1000</v>
      </c>
    </row>
    <row r="128" spans="1:20" hidden="1">
      <c r="A128" s="16" t="s">
        <v>134</v>
      </c>
      <c r="B128" s="18">
        <v>862.03</v>
      </c>
      <c r="C128" s="18">
        <v>606.12</v>
      </c>
      <c r="D128" s="18">
        <v>1955.5</v>
      </c>
      <c r="E128" s="18">
        <v>1000</v>
      </c>
      <c r="F128" s="23">
        <v>637</v>
      </c>
      <c r="G128" s="20">
        <f t="shared" ref="G128:G133" si="22">SUM(H128-F128)</f>
        <v>-137</v>
      </c>
      <c r="H128" s="13">
        <v>500</v>
      </c>
      <c r="I128" s="13">
        <v>3836.1</v>
      </c>
      <c r="J128" s="13">
        <v>2000</v>
      </c>
      <c r="K128" s="13">
        <v>3836.1</v>
      </c>
      <c r="L128" s="13">
        <v>2083.0500000000002</v>
      </c>
      <c r="M128" s="13">
        <v>1000</v>
      </c>
      <c r="N128" s="13">
        <v>1500</v>
      </c>
      <c r="O128" s="13">
        <v>2082.25</v>
      </c>
      <c r="P128" s="13">
        <v>1000</v>
      </c>
      <c r="Q128" s="13">
        <f t="shared" si="21"/>
        <v>-750</v>
      </c>
      <c r="R128" s="24">
        <v>250</v>
      </c>
      <c r="S128" s="13">
        <f t="shared" si="21"/>
        <v>750</v>
      </c>
      <c r="T128" s="22">
        <v>1000</v>
      </c>
    </row>
    <row r="129" spans="1:20" hidden="1">
      <c r="A129" s="16" t="s">
        <v>135</v>
      </c>
      <c r="B129" s="18">
        <v>759.94</v>
      </c>
      <c r="C129" s="18">
        <v>992</v>
      </c>
      <c r="D129" s="18">
        <v>391.6</v>
      </c>
      <c r="E129" s="18">
        <v>2500</v>
      </c>
      <c r="F129" s="23">
        <v>2623</v>
      </c>
      <c r="G129" s="20">
        <f t="shared" si="22"/>
        <v>1377</v>
      </c>
      <c r="H129" s="13">
        <v>4000</v>
      </c>
      <c r="I129" s="13">
        <v>2643.74</v>
      </c>
      <c r="J129" s="13">
        <v>2000</v>
      </c>
      <c r="K129" s="13">
        <v>2643.74</v>
      </c>
      <c r="L129" s="13">
        <v>1237.25</v>
      </c>
      <c r="M129" s="13">
        <v>1000</v>
      </c>
      <c r="N129" s="13">
        <v>1500</v>
      </c>
      <c r="O129" s="13">
        <v>490</v>
      </c>
      <c r="P129" s="13">
        <v>1000</v>
      </c>
      <c r="Q129" s="13">
        <f t="shared" si="21"/>
        <v>-500</v>
      </c>
      <c r="R129" s="24">
        <v>500</v>
      </c>
      <c r="S129" s="13">
        <f t="shared" si="21"/>
        <v>900</v>
      </c>
      <c r="T129" s="22">
        <v>1400</v>
      </c>
    </row>
    <row r="130" spans="1:20" hidden="1">
      <c r="A130" s="16" t="s">
        <v>136</v>
      </c>
      <c r="B130" s="18">
        <v>801.36</v>
      </c>
      <c r="C130" s="18">
        <v>289.23</v>
      </c>
      <c r="D130" s="18">
        <v>1647.48</v>
      </c>
      <c r="E130" s="18">
        <v>1300</v>
      </c>
      <c r="F130" s="23">
        <v>2866</v>
      </c>
      <c r="G130" s="20">
        <f t="shared" si="22"/>
        <v>134</v>
      </c>
      <c r="H130" s="13">
        <v>3000</v>
      </c>
      <c r="I130" s="13">
        <v>2120.71</v>
      </c>
      <c r="J130" s="13">
        <v>2000</v>
      </c>
      <c r="K130" s="13">
        <v>2120.71</v>
      </c>
      <c r="L130" s="13">
        <v>1185.23</v>
      </c>
      <c r="M130" s="13">
        <v>1000</v>
      </c>
      <c r="N130" s="13">
        <v>2000</v>
      </c>
      <c r="O130" s="13">
        <v>1499.81</v>
      </c>
      <c r="P130" s="13">
        <v>1000</v>
      </c>
      <c r="Q130" s="13">
        <f t="shared" si="21"/>
        <v>-500</v>
      </c>
      <c r="R130" s="24">
        <v>500</v>
      </c>
      <c r="S130" s="13">
        <f t="shared" si="21"/>
        <v>1000</v>
      </c>
      <c r="T130" s="22">
        <v>1500</v>
      </c>
    </row>
    <row r="131" spans="1:20" hidden="1">
      <c r="A131" s="16" t="s">
        <v>137</v>
      </c>
      <c r="B131" s="18">
        <v>241.67</v>
      </c>
      <c r="C131" s="18">
        <v>28.74</v>
      </c>
      <c r="D131" s="18">
        <v>207.05</v>
      </c>
      <c r="E131" s="18">
        <v>350</v>
      </c>
      <c r="F131" s="23">
        <v>2114</v>
      </c>
      <c r="G131" s="20">
        <f t="shared" si="22"/>
        <v>-114</v>
      </c>
      <c r="H131" s="13">
        <v>2000</v>
      </c>
      <c r="I131" s="13">
        <v>3309.5</v>
      </c>
      <c r="J131" s="13">
        <v>2200</v>
      </c>
      <c r="K131" s="13">
        <v>3309.5</v>
      </c>
      <c r="L131" s="13">
        <v>1179.8900000000001</v>
      </c>
      <c r="M131" s="13">
        <v>2000</v>
      </c>
      <c r="N131" s="13">
        <v>2000</v>
      </c>
      <c r="O131" s="13">
        <v>269.14</v>
      </c>
      <c r="P131" s="13">
        <v>750</v>
      </c>
      <c r="Q131" s="13">
        <f t="shared" si="21"/>
        <v>0</v>
      </c>
      <c r="R131" s="24">
        <v>750</v>
      </c>
      <c r="S131" s="13">
        <f t="shared" si="21"/>
        <v>250</v>
      </c>
      <c r="T131" s="22">
        <v>1000</v>
      </c>
    </row>
    <row r="132" spans="1:20" hidden="1">
      <c r="A132" s="16" t="s">
        <v>138</v>
      </c>
      <c r="B132" s="18"/>
      <c r="C132" s="18"/>
      <c r="D132" s="18"/>
      <c r="E132" s="18"/>
      <c r="F132" s="23">
        <v>1682</v>
      </c>
      <c r="G132" s="20">
        <f t="shared" si="22"/>
        <v>-682</v>
      </c>
      <c r="H132" s="13">
        <v>1000</v>
      </c>
      <c r="I132" s="13">
        <v>496.26</v>
      </c>
      <c r="J132" s="13">
        <v>500</v>
      </c>
      <c r="K132" s="13">
        <v>496.26</v>
      </c>
      <c r="L132" s="13">
        <v>93.17</v>
      </c>
      <c r="M132" s="13">
        <v>500</v>
      </c>
      <c r="N132" s="13">
        <v>500</v>
      </c>
      <c r="O132" s="13"/>
      <c r="P132" s="13">
        <v>500</v>
      </c>
      <c r="Q132" s="13">
        <f t="shared" si="21"/>
        <v>-200</v>
      </c>
      <c r="R132" s="24">
        <v>300</v>
      </c>
      <c r="S132" s="13">
        <f t="shared" si="21"/>
        <v>0</v>
      </c>
      <c r="T132" s="22">
        <v>300</v>
      </c>
    </row>
    <row r="133" spans="1:20">
      <c r="A133" s="98" t="s">
        <v>139</v>
      </c>
      <c r="B133" s="39">
        <f>SUM(B127:B131)</f>
        <v>3443.7400000000002</v>
      </c>
      <c r="C133" s="39">
        <f>SUM(C127:C131)</f>
        <v>2111.81</v>
      </c>
      <c r="D133" s="39">
        <f>SUM(D127:D131)</f>
        <v>4201.63</v>
      </c>
      <c r="E133" s="39">
        <f>SUM(E127:E131)</f>
        <v>6500</v>
      </c>
      <c r="F133" s="60">
        <f>SUM(F127:F132)</f>
        <v>10615</v>
      </c>
      <c r="G133" s="20">
        <f t="shared" si="22"/>
        <v>885</v>
      </c>
      <c r="H133" s="42">
        <f t="shared" ref="H133:P133" si="23">SUM(H127:H132)</f>
        <v>11500</v>
      </c>
      <c r="I133" s="42">
        <f t="shared" si="23"/>
        <v>13147.31</v>
      </c>
      <c r="J133" s="42">
        <f t="shared" si="23"/>
        <v>9200</v>
      </c>
      <c r="K133" s="42">
        <f t="shared" si="23"/>
        <v>13147.31</v>
      </c>
      <c r="L133" s="42">
        <f t="shared" si="23"/>
        <v>6156.0900000000011</v>
      </c>
      <c r="M133" s="42">
        <f t="shared" si="23"/>
        <v>6000</v>
      </c>
      <c r="N133" s="42">
        <f t="shared" si="23"/>
        <v>8500</v>
      </c>
      <c r="O133" s="42">
        <f t="shared" si="23"/>
        <v>5134.21</v>
      </c>
      <c r="P133" s="42">
        <f t="shared" si="23"/>
        <v>4500</v>
      </c>
      <c r="Q133" s="43">
        <f t="shared" si="21"/>
        <v>-1450</v>
      </c>
      <c r="R133" s="42">
        <f t="shared" ref="R133" si="24">SUM(R127:R132)</f>
        <v>3050</v>
      </c>
      <c r="S133" s="43">
        <f t="shared" si="21"/>
        <v>3150</v>
      </c>
      <c r="T133" s="44">
        <f t="shared" ref="T133" si="25">SUM(T127:T132)</f>
        <v>6200</v>
      </c>
    </row>
    <row r="134" spans="1:20">
      <c r="A134" s="16"/>
      <c r="B134" s="17"/>
      <c r="C134" s="17"/>
      <c r="D134" s="17"/>
      <c r="E134" s="18"/>
      <c r="F134" s="19"/>
      <c r="G134" s="20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22"/>
    </row>
    <row r="135" spans="1:20">
      <c r="A135" s="10" t="s">
        <v>140</v>
      </c>
      <c r="B135" s="17"/>
      <c r="C135" s="17"/>
      <c r="D135" s="17"/>
      <c r="E135" s="18"/>
      <c r="F135" s="19"/>
      <c r="G135" s="20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22"/>
    </row>
    <row r="136" spans="1:20" hidden="1">
      <c r="A136" s="16" t="s">
        <v>141</v>
      </c>
      <c r="B136" s="18">
        <v>2663</v>
      </c>
      <c r="C136" s="18">
        <v>3297</v>
      </c>
      <c r="D136" s="18">
        <v>3717</v>
      </c>
      <c r="E136" s="18">
        <v>3900</v>
      </c>
      <c r="F136" s="23">
        <v>3400</v>
      </c>
      <c r="G136" s="20">
        <f t="shared" ref="G136:G140" si="26">SUM(H136-F136)</f>
        <v>600</v>
      </c>
      <c r="H136" s="13">
        <v>4000</v>
      </c>
      <c r="I136" s="13">
        <v>3231</v>
      </c>
      <c r="J136" s="13">
        <v>4000</v>
      </c>
      <c r="K136" s="13">
        <v>3231</v>
      </c>
      <c r="L136" s="13">
        <v>3539</v>
      </c>
      <c r="M136" s="13">
        <v>4000</v>
      </c>
      <c r="N136" s="13">
        <v>4250</v>
      </c>
      <c r="O136" s="13">
        <v>4191</v>
      </c>
      <c r="P136" s="13">
        <v>4200</v>
      </c>
      <c r="Q136" s="13">
        <f>SUM(R136-P136)</f>
        <v>50</v>
      </c>
      <c r="R136" s="13">
        <v>4250</v>
      </c>
      <c r="S136" s="13">
        <f>SUM(T136-R136)</f>
        <v>250</v>
      </c>
      <c r="T136" s="22">
        <v>4500</v>
      </c>
    </row>
    <row r="137" spans="1:20" hidden="1">
      <c r="A137" s="16" t="s">
        <v>142</v>
      </c>
      <c r="B137" s="18">
        <v>558</v>
      </c>
      <c r="C137" s="18">
        <v>546</v>
      </c>
      <c r="D137" s="18">
        <v>613</v>
      </c>
      <c r="E137" s="18">
        <v>850</v>
      </c>
      <c r="F137" s="23">
        <v>2538</v>
      </c>
      <c r="G137" s="20">
        <f t="shared" si="26"/>
        <v>-1638</v>
      </c>
      <c r="H137" s="13">
        <v>900</v>
      </c>
      <c r="I137" s="13">
        <v>1761</v>
      </c>
      <c r="J137" s="13">
        <v>2500</v>
      </c>
      <c r="K137" s="13">
        <v>1761</v>
      </c>
      <c r="L137" s="13">
        <v>1761</v>
      </c>
      <c r="M137" s="13">
        <v>2500</v>
      </c>
      <c r="N137" s="13">
        <v>2200</v>
      </c>
      <c r="O137" s="13">
        <v>675</v>
      </c>
      <c r="P137" s="13">
        <v>1860</v>
      </c>
      <c r="Q137" s="13">
        <f>SUM(R137-P137)</f>
        <v>40</v>
      </c>
      <c r="R137" s="13">
        <v>1900</v>
      </c>
      <c r="S137" s="13">
        <f>SUM(T137-R137)</f>
        <v>0</v>
      </c>
      <c r="T137" s="22">
        <v>1900</v>
      </c>
    </row>
    <row r="138" spans="1:20" hidden="1">
      <c r="A138" s="16" t="s">
        <v>143</v>
      </c>
      <c r="B138" s="18">
        <v>373</v>
      </c>
      <c r="C138" s="18">
        <v>379</v>
      </c>
      <c r="D138" s="18">
        <v>396</v>
      </c>
      <c r="E138" s="18">
        <v>530</v>
      </c>
      <c r="F138" s="23">
        <v>396</v>
      </c>
      <c r="G138" s="20">
        <f t="shared" si="26"/>
        <v>154</v>
      </c>
      <c r="H138" s="13">
        <v>550</v>
      </c>
      <c r="I138" s="13">
        <v>1023</v>
      </c>
      <c r="J138" s="13">
        <v>500</v>
      </c>
      <c r="K138" s="13">
        <v>1023</v>
      </c>
      <c r="L138" s="13">
        <v>1023</v>
      </c>
      <c r="M138" s="13">
        <v>500</v>
      </c>
      <c r="N138" s="13">
        <v>1300</v>
      </c>
      <c r="O138" s="13">
        <v>1064</v>
      </c>
      <c r="P138" s="13">
        <v>1100</v>
      </c>
      <c r="Q138" s="13">
        <f>SUM(R138-P138)</f>
        <v>50</v>
      </c>
      <c r="R138" s="13">
        <v>1150</v>
      </c>
      <c r="S138" s="13">
        <f>SUM(T138-R138)</f>
        <v>0</v>
      </c>
      <c r="T138" s="22">
        <v>1150</v>
      </c>
    </row>
    <row r="139" spans="1:20" hidden="1">
      <c r="A139" s="16" t="s">
        <v>144</v>
      </c>
      <c r="B139" s="18">
        <v>1902</v>
      </c>
      <c r="C139" s="18">
        <v>1903</v>
      </c>
      <c r="D139" s="18">
        <v>2119</v>
      </c>
      <c r="E139" s="18">
        <v>2450</v>
      </c>
      <c r="F139" s="23">
        <v>594</v>
      </c>
      <c r="G139" s="20">
        <f t="shared" si="26"/>
        <v>1906</v>
      </c>
      <c r="H139" s="13">
        <v>2500</v>
      </c>
      <c r="I139" s="13">
        <v>1278</v>
      </c>
      <c r="J139" s="13">
        <v>1000</v>
      </c>
      <c r="K139" s="13">
        <v>1278</v>
      </c>
      <c r="L139" s="13">
        <v>1430</v>
      </c>
      <c r="M139" s="13">
        <v>1000</v>
      </c>
      <c r="N139" s="13">
        <v>1750</v>
      </c>
      <c r="O139" s="13">
        <v>2648</v>
      </c>
      <c r="P139" s="13">
        <v>1420</v>
      </c>
      <c r="Q139" s="13">
        <f>SUM(R139-P139)</f>
        <v>30</v>
      </c>
      <c r="R139" s="13">
        <v>1450</v>
      </c>
      <c r="S139" s="13">
        <f>SUM(T139-R139)</f>
        <v>750</v>
      </c>
      <c r="T139" s="22">
        <v>2200</v>
      </c>
    </row>
    <row r="140" spans="1:20">
      <c r="A140" s="38" t="s">
        <v>145</v>
      </c>
      <c r="B140" s="39">
        <f t="shared" ref="B140:M140" si="27">SUM(B136:B139)</f>
        <v>5496</v>
      </c>
      <c r="C140" s="39">
        <f t="shared" si="27"/>
        <v>6125</v>
      </c>
      <c r="D140" s="39">
        <f t="shared" si="27"/>
        <v>6845</v>
      </c>
      <c r="E140" s="39">
        <f>SUM(E136:E139)</f>
        <v>7730</v>
      </c>
      <c r="F140" s="42">
        <f>SUM(F136:F139)</f>
        <v>6928</v>
      </c>
      <c r="G140" s="20">
        <f t="shared" si="26"/>
        <v>1022</v>
      </c>
      <c r="H140" s="42">
        <f t="shared" si="27"/>
        <v>7950</v>
      </c>
      <c r="I140" s="42">
        <f t="shared" si="27"/>
        <v>7293</v>
      </c>
      <c r="J140" s="42">
        <f t="shared" si="27"/>
        <v>8000</v>
      </c>
      <c r="K140" s="42">
        <f>SUM(K136:K139)</f>
        <v>7293</v>
      </c>
      <c r="L140" s="42">
        <f>SUM(L136:L139)</f>
        <v>7753</v>
      </c>
      <c r="M140" s="42">
        <f t="shared" si="27"/>
        <v>8000</v>
      </c>
      <c r="N140" s="42">
        <f>SUM(N136:N139)</f>
        <v>9500</v>
      </c>
      <c r="O140" s="42">
        <f>SUM(O136:O139)</f>
        <v>8578</v>
      </c>
      <c r="P140" s="42">
        <f>SUM(P136:P139)</f>
        <v>8580</v>
      </c>
      <c r="Q140" s="43">
        <f>SUM(R140-P140)</f>
        <v>170</v>
      </c>
      <c r="R140" s="42">
        <f t="shared" ref="R140" si="28">SUM(R136:R139)</f>
        <v>8750</v>
      </c>
      <c r="S140" s="43">
        <f>SUM(T140-R140)</f>
        <v>1000</v>
      </c>
      <c r="T140" s="44">
        <f t="shared" ref="T140" si="29">SUM(T136:T139)</f>
        <v>9750</v>
      </c>
    </row>
    <row r="141" spans="1:20">
      <c r="A141" s="16"/>
      <c r="B141" s="17"/>
      <c r="C141" s="17"/>
      <c r="D141" s="17"/>
      <c r="E141" s="18"/>
      <c r="F141" s="19"/>
      <c r="G141" s="20"/>
      <c r="H141" s="13"/>
      <c r="I141" s="13"/>
      <c r="J141" s="13"/>
      <c r="K141" s="43"/>
      <c r="L141" s="13"/>
      <c r="M141" s="13"/>
      <c r="N141" s="13"/>
      <c r="O141" s="13"/>
      <c r="P141" s="13"/>
      <c r="Q141" s="13"/>
      <c r="R141" s="13"/>
      <c r="S141" s="13"/>
      <c r="T141" s="22"/>
    </row>
    <row r="142" spans="1:20" hidden="1">
      <c r="A142" s="10" t="s">
        <v>146</v>
      </c>
      <c r="B142" s="17"/>
      <c r="C142" s="17"/>
      <c r="D142" s="17"/>
      <c r="E142" s="18"/>
      <c r="F142" s="19"/>
      <c r="G142" s="20"/>
      <c r="H142" s="13"/>
      <c r="I142" s="13"/>
      <c r="J142" s="13"/>
      <c r="K142" s="43"/>
      <c r="L142" s="13"/>
      <c r="M142" s="13"/>
      <c r="N142" s="13"/>
      <c r="O142" s="13"/>
      <c r="P142" s="13"/>
      <c r="Q142" s="13">
        <f t="shared" ref="Q142:S149" si="30">SUM(R142-P142)</f>
        <v>0</v>
      </c>
      <c r="R142" s="13"/>
      <c r="S142" s="13">
        <f t="shared" si="30"/>
        <v>0</v>
      </c>
      <c r="T142" s="22"/>
    </row>
    <row r="143" spans="1:20" hidden="1">
      <c r="A143" s="16" t="s">
        <v>147</v>
      </c>
      <c r="B143" s="18">
        <v>1289.23</v>
      </c>
      <c r="C143" s="18">
        <v>1345.43</v>
      </c>
      <c r="D143" s="18">
        <v>1414.54</v>
      </c>
      <c r="E143" s="18">
        <v>2000</v>
      </c>
      <c r="F143" s="23">
        <v>39</v>
      </c>
      <c r="G143" s="20" t="e">
        <f>SUM(H143-#REF!)</f>
        <v>#REF!</v>
      </c>
      <c r="H143" s="13">
        <v>0</v>
      </c>
      <c r="I143" s="13"/>
      <c r="J143" s="13">
        <v>0</v>
      </c>
      <c r="K143" s="43"/>
      <c r="L143" s="13"/>
      <c r="M143" s="13">
        <v>0</v>
      </c>
      <c r="N143" s="13">
        <v>0</v>
      </c>
      <c r="O143" s="13"/>
      <c r="P143" s="13"/>
      <c r="Q143" s="13">
        <f t="shared" si="30"/>
        <v>0</v>
      </c>
      <c r="R143" s="13">
        <v>0</v>
      </c>
      <c r="S143" s="13">
        <f t="shared" si="30"/>
        <v>0</v>
      </c>
      <c r="T143" s="22">
        <v>0</v>
      </c>
    </row>
    <row r="144" spans="1:20" hidden="1">
      <c r="A144" s="16" t="s">
        <v>148</v>
      </c>
      <c r="B144" s="18">
        <v>914.14</v>
      </c>
      <c r="C144" s="18">
        <v>929.61</v>
      </c>
      <c r="D144" s="18">
        <v>1121.97</v>
      </c>
      <c r="E144" s="18">
        <v>1500</v>
      </c>
      <c r="F144" s="23">
        <v>393</v>
      </c>
      <c r="G144" s="20" t="e">
        <f>SUM(H144-#REF!)</f>
        <v>#REF!</v>
      </c>
      <c r="H144" s="13">
        <v>125</v>
      </c>
      <c r="I144" s="13"/>
      <c r="J144" s="13">
        <v>0</v>
      </c>
      <c r="K144" s="43"/>
      <c r="L144" s="13"/>
      <c r="M144" s="13">
        <v>0</v>
      </c>
      <c r="N144" s="13">
        <v>0</v>
      </c>
      <c r="O144" s="13"/>
      <c r="P144" s="13"/>
      <c r="Q144" s="13">
        <f t="shared" si="30"/>
        <v>0</v>
      </c>
      <c r="R144" s="13">
        <v>0</v>
      </c>
      <c r="S144" s="13">
        <f t="shared" si="30"/>
        <v>0</v>
      </c>
      <c r="T144" s="22">
        <v>0</v>
      </c>
    </row>
    <row r="145" spans="1:20" hidden="1">
      <c r="A145" s="16" t="s">
        <v>149</v>
      </c>
      <c r="B145" s="18">
        <v>1374.66</v>
      </c>
      <c r="C145" s="18">
        <v>1340.63</v>
      </c>
      <c r="D145" s="18">
        <v>1376.24</v>
      </c>
      <c r="E145" s="18">
        <v>1600</v>
      </c>
      <c r="F145" s="23">
        <v>405</v>
      </c>
      <c r="G145" s="20" t="e">
        <f>SUM(H145-#REF!)</f>
        <v>#REF!</v>
      </c>
      <c r="H145" s="13">
        <v>250</v>
      </c>
      <c r="I145" s="13"/>
      <c r="J145" s="13">
        <v>0</v>
      </c>
      <c r="K145" s="43"/>
      <c r="L145" s="13"/>
      <c r="M145" s="13">
        <v>0</v>
      </c>
      <c r="N145" s="13">
        <v>0</v>
      </c>
      <c r="O145" s="13"/>
      <c r="P145" s="13"/>
      <c r="Q145" s="13">
        <f t="shared" si="30"/>
        <v>0</v>
      </c>
      <c r="R145" s="13">
        <v>0</v>
      </c>
      <c r="S145" s="13">
        <f t="shared" si="30"/>
        <v>0</v>
      </c>
      <c r="T145" s="22">
        <v>0</v>
      </c>
    </row>
    <row r="146" spans="1:20" hidden="1">
      <c r="A146" s="16" t="s">
        <v>150</v>
      </c>
      <c r="B146" s="18">
        <v>2802.82</v>
      </c>
      <c r="C146" s="18">
        <v>2522.58</v>
      </c>
      <c r="D146" s="18">
        <v>2917.79</v>
      </c>
      <c r="E146" s="18">
        <v>4750</v>
      </c>
      <c r="F146" s="23">
        <v>53</v>
      </c>
      <c r="G146" s="20" t="e">
        <f>SUM(H146-#REF!)</f>
        <v>#REF!</v>
      </c>
      <c r="H146" s="13">
        <v>0</v>
      </c>
      <c r="I146" s="13"/>
      <c r="J146" s="13">
        <v>0</v>
      </c>
      <c r="K146" s="43"/>
      <c r="L146" s="13"/>
      <c r="M146" s="13">
        <v>0</v>
      </c>
      <c r="N146" s="13">
        <v>0</v>
      </c>
      <c r="O146" s="13"/>
      <c r="P146" s="13"/>
      <c r="Q146" s="13">
        <f t="shared" si="30"/>
        <v>0</v>
      </c>
      <c r="R146" s="13">
        <v>0</v>
      </c>
      <c r="S146" s="13">
        <f t="shared" si="30"/>
        <v>0</v>
      </c>
      <c r="T146" s="22">
        <v>0</v>
      </c>
    </row>
    <row r="147" spans="1:20" hidden="1">
      <c r="A147" s="16" t="s">
        <v>151</v>
      </c>
      <c r="B147" s="18">
        <v>559.77</v>
      </c>
      <c r="C147" s="18">
        <v>792.38</v>
      </c>
      <c r="D147" s="18">
        <v>1011.46</v>
      </c>
      <c r="E147" s="18">
        <v>750</v>
      </c>
      <c r="F147" s="23"/>
      <c r="G147" s="20" t="e">
        <f>SUM(H147-#REF!)</f>
        <v>#REF!</v>
      </c>
      <c r="H147" s="13">
        <v>0</v>
      </c>
      <c r="I147" s="13"/>
      <c r="J147" s="13">
        <v>0</v>
      </c>
      <c r="K147" s="43"/>
      <c r="L147" s="13"/>
      <c r="M147" s="13">
        <v>0</v>
      </c>
      <c r="N147" s="13">
        <v>0</v>
      </c>
      <c r="O147" s="13"/>
      <c r="P147" s="13"/>
      <c r="Q147" s="13">
        <f t="shared" si="30"/>
        <v>0</v>
      </c>
      <c r="R147" s="13">
        <v>0</v>
      </c>
      <c r="S147" s="13">
        <f t="shared" si="30"/>
        <v>0</v>
      </c>
      <c r="T147" s="22">
        <v>0</v>
      </c>
    </row>
    <row r="148" spans="1:20" hidden="1">
      <c r="A148" s="38" t="s">
        <v>152</v>
      </c>
      <c r="B148" s="39">
        <f t="shared" ref="B148:H148" si="31">SUM(B143:B147)</f>
        <v>6940.6200000000008</v>
      </c>
      <c r="C148" s="39">
        <f t="shared" si="31"/>
        <v>6930.63</v>
      </c>
      <c r="D148" s="39">
        <f t="shared" si="31"/>
        <v>7842</v>
      </c>
      <c r="E148" s="39">
        <f>SUM(E143:E147)</f>
        <v>10600</v>
      </c>
      <c r="F148" s="60">
        <f>SUM(F143:F147)</f>
        <v>890</v>
      </c>
      <c r="G148" s="61" t="e">
        <f t="shared" si="31"/>
        <v>#REF!</v>
      </c>
      <c r="H148" s="42">
        <f t="shared" si="31"/>
        <v>375</v>
      </c>
      <c r="I148" s="42"/>
      <c r="J148" s="42">
        <f t="shared" ref="J148:N148" si="32">SUM(J143:J147)</f>
        <v>0</v>
      </c>
      <c r="K148" s="42"/>
      <c r="L148" s="99"/>
      <c r="M148" s="42">
        <f t="shared" si="32"/>
        <v>0</v>
      </c>
      <c r="N148" s="99">
        <f t="shared" si="32"/>
        <v>0</v>
      </c>
      <c r="O148" s="99"/>
      <c r="P148" s="99"/>
      <c r="Q148" s="13">
        <f t="shared" si="30"/>
        <v>0</v>
      </c>
      <c r="R148" s="99">
        <f t="shared" ref="R148" si="33">SUM(R143:R147)</f>
        <v>0</v>
      </c>
      <c r="S148" s="13">
        <f t="shared" si="30"/>
        <v>0</v>
      </c>
      <c r="T148" s="100">
        <f t="shared" ref="T148" si="34">SUM(T143:T147)</f>
        <v>0</v>
      </c>
    </row>
    <row r="149" spans="1:20" hidden="1">
      <c r="A149" s="16"/>
      <c r="B149" s="17"/>
      <c r="C149" s="17"/>
      <c r="D149" s="17"/>
      <c r="E149" s="18"/>
      <c r="F149" s="19"/>
      <c r="G149" s="20"/>
      <c r="H149" s="13"/>
      <c r="I149" s="13"/>
      <c r="J149" s="13"/>
      <c r="K149" s="43"/>
      <c r="L149" s="13"/>
      <c r="M149" s="13"/>
      <c r="N149" s="13"/>
      <c r="O149" s="13"/>
      <c r="P149" s="13"/>
      <c r="Q149" s="13">
        <f t="shared" si="30"/>
        <v>0</v>
      </c>
      <c r="R149" s="13"/>
      <c r="S149" s="13">
        <f t="shared" si="30"/>
        <v>0</v>
      </c>
      <c r="T149" s="22"/>
    </row>
    <row r="150" spans="1:20" hidden="1">
      <c r="A150" s="16"/>
      <c r="B150" s="17"/>
      <c r="C150" s="17"/>
      <c r="D150" s="17"/>
      <c r="E150" s="18"/>
      <c r="F150" s="19"/>
      <c r="G150" s="20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22"/>
    </row>
    <row r="151" spans="1:20">
      <c r="A151" s="10" t="s">
        <v>153</v>
      </c>
      <c r="B151" s="17"/>
      <c r="C151" s="17"/>
      <c r="D151" s="17"/>
      <c r="E151" s="18"/>
      <c r="F151" s="19"/>
      <c r="G151" s="20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22"/>
    </row>
    <row r="152" spans="1:20" hidden="1">
      <c r="A152" s="16" t="s">
        <v>154</v>
      </c>
      <c r="B152" s="17"/>
      <c r="C152" s="17"/>
      <c r="D152" s="18">
        <v>134.91</v>
      </c>
      <c r="E152" s="18"/>
      <c r="F152" s="23">
        <v>650</v>
      </c>
      <c r="G152" s="20" t="e">
        <f>SUM(H152-#REF!)</f>
        <v>#REF!</v>
      </c>
      <c r="H152" s="13">
        <v>500</v>
      </c>
      <c r="I152" s="13"/>
      <c r="J152" s="13">
        <v>0</v>
      </c>
      <c r="K152" s="13"/>
      <c r="L152" s="13"/>
      <c r="M152" s="13">
        <v>0</v>
      </c>
      <c r="N152" s="13">
        <v>0</v>
      </c>
      <c r="O152" s="13"/>
      <c r="P152" s="13"/>
      <c r="Q152" s="13">
        <f t="shared" ref="Q152:S162" si="35">SUM(R152-P152)</f>
        <v>0</v>
      </c>
      <c r="R152" s="13">
        <v>0</v>
      </c>
      <c r="S152" s="13">
        <f t="shared" si="35"/>
        <v>0</v>
      </c>
      <c r="T152" s="22">
        <v>0</v>
      </c>
    </row>
    <row r="153" spans="1:20" hidden="1">
      <c r="A153" s="16" t="s">
        <v>155</v>
      </c>
      <c r="B153" s="17"/>
      <c r="C153" s="17"/>
      <c r="D153" s="18">
        <v>188.08</v>
      </c>
      <c r="E153" s="18"/>
      <c r="F153" s="23">
        <v>352</v>
      </c>
      <c r="G153" s="20" t="e">
        <f>SUM(H153-#REF!)</f>
        <v>#REF!</v>
      </c>
      <c r="H153" s="13">
        <v>700</v>
      </c>
      <c r="I153" s="13"/>
      <c r="J153" s="13">
        <v>0</v>
      </c>
      <c r="K153" s="13"/>
      <c r="L153" s="13"/>
      <c r="M153" s="13">
        <v>0</v>
      </c>
      <c r="N153" s="13">
        <v>0</v>
      </c>
      <c r="O153" s="13"/>
      <c r="P153" s="13"/>
      <c r="Q153" s="13">
        <f t="shared" si="35"/>
        <v>0</v>
      </c>
      <c r="R153" s="13">
        <v>0</v>
      </c>
      <c r="S153" s="13">
        <f t="shared" si="35"/>
        <v>0</v>
      </c>
      <c r="T153" s="22">
        <v>0</v>
      </c>
    </row>
    <row r="154" spans="1:20" hidden="1">
      <c r="A154" s="16" t="s">
        <v>156</v>
      </c>
      <c r="B154" s="17"/>
      <c r="C154" s="17"/>
      <c r="D154" s="18">
        <v>0</v>
      </c>
      <c r="E154" s="18"/>
      <c r="F154" s="23"/>
      <c r="G154" s="20" t="e">
        <f>SUM(H154-#REF!)</f>
        <v>#REF!</v>
      </c>
      <c r="H154" s="13">
        <v>0</v>
      </c>
      <c r="I154" s="13"/>
      <c r="J154" s="13">
        <v>0</v>
      </c>
      <c r="K154" s="13"/>
      <c r="L154" s="13"/>
      <c r="M154" s="13">
        <v>0</v>
      </c>
      <c r="N154" s="13">
        <v>0</v>
      </c>
      <c r="O154" s="13"/>
      <c r="P154" s="13"/>
      <c r="Q154" s="13">
        <f t="shared" si="35"/>
        <v>0</v>
      </c>
      <c r="R154" s="13">
        <v>0</v>
      </c>
      <c r="S154" s="13">
        <f t="shared" si="35"/>
        <v>0</v>
      </c>
      <c r="T154" s="22">
        <v>0</v>
      </c>
    </row>
    <row r="155" spans="1:20" hidden="1">
      <c r="A155" s="16" t="s">
        <v>157</v>
      </c>
      <c r="B155" s="17"/>
      <c r="C155" s="17"/>
      <c r="D155" s="18">
        <v>441.77</v>
      </c>
      <c r="E155" s="18"/>
      <c r="F155" s="23">
        <v>1046</v>
      </c>
      <c r="G155" s="20" t="e">
        <f>SUM(H155-#REF!)</f>
        <v>#REF!</v>
      </c>
      <c r="H155" s="13">
        <f>SUM(102*12)</f>
        <v>1224</v>
      </c>
      <c r="I155" s="13"/>
      <c r="J155" s="13">
        <v>0</v>
      </c>
      <c r="K155" s="13"/>
      <c r="L155" s="13"/>
      <c r="M155" s="13">
        <v>0</v>
      </c>
      <c r="N155" s="13">
        <v>0</v>
      </c>
      <c r="O155" s="13"/>
      <c r="P155" s="13"/>
      <c r="Q155" s="13">
        <f t="shared" si="35"/>
        <v>0</v>
      </c>
      <c r="R155" s="13">
        <v>0</v>
      </c>
      <c r="S155" s="13">
        <f t="shared" si="35"/>
        <v>0</v>
      </c>
      <c r="T155" s="22">
        <v>0</v>
      </c>
    </row>
    <row r="156" spans="1:20" hidden="1">
      <c r="A156" s="16" t="s">
        <v>158</v>
      </c>
      <c r="B156" s="17"/>
      <c r="C156" s="17"/>
      <c r="D156" s="18">
        <v>345.8</v>
      </c>
      <c r="E156" s="18"/>
      <c r="F156" s="23">
        <v>1111</v>
      </c>
      <c r="G156" s="20" t="e">
        <f>SUM(H156-#REF!)</f>
        <v>#REF!</v>
      </c>
      <c r="H156" s="13">
        <f>SUM(940+300)</f>
        <v>1240</v>
      </c>
      <c r="I156" s="13"/>
      <c r="J156" s="13">
        <v>0</v>
      </c>
      <c r="K156" s="13"/>
      <c r="L156" s="13"/>
      <c r="M156" s="13">
        <v>0</v>
      </c>
      <c r="N156" s="13">
        <v>0</v>
      </c>
      <c r="O156" s="13"/>
      <c r="P156" s="13"/>
      <c r="Q156" s="13">
        <f t="shared" si="35"/>
        <v>0</v>
      </c>
      <c r="R156" s="13">
        <v>0</v>
      </c>
      <c r="S156" s="13">
        <f t="shared" si="35"/>
        <v>0</v>
      </c>
      <c r="T156" s="22">
        <v>0</v>
      </c>
    </row>
    <row r="157" spans="1:20" hidden="1">
      <c r="A157" s="16" t="s">
        <v>159</v>
      </c>
      <c r="B157" s="17"/>
      <c r="C157" s="17"/>
      <c r="D157" s="18">
        <v>114.99</v>
      </c>
      <c r="E157" s="18"/>
      <c r="F157" s="23">
        <v>324</v>
      </c>
      <c r="G157" s="20" t="e">
        <f>SUM(H157-#REF!)</f>
        <v>#REF!</v>
      </c>
      <c r="H157" s="13">
        <v>500</v>
      </c>
      <c r="I157" s="13"/>
      <c r="J157" s="13">
        <v>0</v>
      </c>
      <c r="K157" s="13"/>
      <c r="L157" s="13"/>
      <c r="M157" s="13">
        <v>0</v>
      </c>
      <c r="N157" s="13">
        <v>0</v>
      </c>
      <c r="O157" s="13"/>
      <c r="P157" s="13"/>
      <c r="Q157" s="13">
        <f t="shared" si="35"/>
        <v>0</v>
      </c>
      <c r="R157" s="13">
        <v>0</v>
      </c>
      <c r="S157" s="13">
        <f t="shared" si="35"/>
        <v>0</v>
      </c>
      <c r="T157" s="22">
        <v>0</v>
      </c>
    </row>
    <row r="158" spans="1:20" hidden="1">
      <c r="A158" s="16" t="s">
        <v>160</v>
      </c>
      <c r="B158" s="17"/>
      <c r="C158" s="17"/>
      <c r="D158" s="18">
        <v>0</v>
      </c>
      <c r="E158" s="18"/>
      <c r="F158" s="23">
        <v>3675</v>
      </c>
      <c r="G158" s="20">
        <f t="shared" ref="G158:G162" si="36">SUM(H158-F158)</f>
        <v>125</v>
      </c>
      <c r="H158" s="13">
        <v>3800</v>
      </c>
      <c r="I158" s="13">
        <v>3785.25</v>
      </c>
      <c r="J158" s="13">
        <v>4000</v>
      </c>
      <c r="K158" s="13">
        <v>3785.25</v>
      </c>
      <c r="L158" s="13">
        <v>3917.74</v>
      </c>
      <c r="M158" s="13">
        <v>4000</v>
      </c>
      <c r="N158" s="13">
        <v>4050</v>
      </c>
      <c r="O158" s="13">
        <v>4054.85</v>
      </c>
      <c r="P158" s="13">
        <v>4055</v>
      </c>
      <c r="Q158" s="13">
        <f t="shared" si="35"/>
        <v>-4055</v>
      </c>
      <c r="R158" s="13">
        <v>0</v>
      </c>
      <c r="S158" s="13">
        <f t="shared" si="35"/>
        <v>0</v>
      </c>
      <c r="T158" s="22">
        <v>0</v>
      </c>
    </row>
    <row r="159" spans="1:20" hidden="1">
      <c r="A159" s="16" t="s">
        <v>161</v>
      </c>
      <c r="B159" s="17"/>
      <c r="C159" s="17"/>
      <c r="D159" s="18">
        <v>2008.33</v>
      </c>
      <c r="E159" s="18"/>
      <c r="F159" s="23">
        <v>535</v>
      </c>
      <c r="G159" s="20">
        <f t="shared" si="36"/>
        <v>-35</v>
      </c>
      <c r="H159" s="13">
        <v>500</v>
      </c>
      <c r="I159" s="13"/>
      <c r="J159" s="13">
        <v>0</v>
      </c>
      <c r="K159" s="43"/>
      <c r="L159" s="13"/>
      <c r="M159" s="13">
        <v>0</v>
      </c>
      <c r="N159" s="13">
        <v>0</v>
      </c>
      <c r="O159" s="13"/>
      <c r="P159" s="13"/>
      <c r="Q159" s="13">
        <f t="shared" si="35"/>
        <v>0</v>
      </c>
      <c r="R159" s="13">
        <v>0</v>
      </c>
      <c r="S159" s="13">
        <f t="shared" si="35"/>
        <v>0</v>
      </c>
      <c r="T159" s="22">
        <v>0</v>
      </c>
    </row>
    <row r="160" spans="1:20" hidden="1">
      <c r="A160" s="16" t="s">
        <v>162</v>
      </c>
      <c r="B160" s="17"/>
      <c r="C160" s="17"/>
      <c r="D160" s="18">
        <v>0</v>
      </c>
      <c r="E160" s="18"/>
      <c r="F160" s="23">
        <v>22</v>
      </c>
      <c r="G160" s="20">
        <f t="shared" si="36"/>
        <v>478</v>
      </c>
      <c r="H160" s="13">
        <v>500</v>
      </c>
      <c r="I160" s="13"/>
      <c r="J160" s="13">
        <v>0</v>
      </c>
      <c r="K160" s="43"/>
      <c r="L160" s="13"/>
      <c r="M160" s="13">
        <v>0</v>
      </c>
      <c r="N160" s="13">
        <v>0</v>
      </c>
      <c r="O160" s="13"/>
      <c r="P160" s="13"/>
      <c r="Q160" s="13">
        <f t="shared" si="35"/>
        <v>0</v>
      </c>
      <c r="R160" s="13">
        <v>0</v>
      </c>
      <c r="S160" s="13">
        <f t="shared" si="35"/>
        <v>0</v>
      </c>
      <c r="T160" s="22">
        <v>0</v>
      </c>
    </row>
    <row r="161" spans="1:20" hidden="1">
      <c r="A161" s="16" t="s">
        <v>163</v>
      </c>
      <c r="B161" s="17"/>
      <c r="C161" s="17"/>
      <c r="D161" s="18">
        <v>0</v>
      </c>
      <c r="E161" s="18"/>
      <c r="F161" s="23"/>
      <c r="G161" s="20">
        <f t="shared" si="36"/>
        <v>0</v>
      </c>
      <c r="H161" s="13">
        <v>0</v>
      </c>
      <c r="I161" s="13"/>
      <c r="J161" s="13">
        <v>0</v>
      </c>
      <c r="K161" s="43"/>
      <c r="L161" s="13"/>
      <c r="M161" s="13">
        <v>0</v>
      </c>
      <c r="N161" s="13">
        <v>0</v>
      </c>
      <c r="O161" s="13"/>
      <c r="P161" s="13"/>
      <c r="Q161" s="13">
        <f t="shared" si="35"/>
        <v>0</v>
      </c>
      <c r="R161" s="13">
        <v>0</v>
      </c>
      <c r="S161" s="13">
        <f t="shared" si="35"/>
        <v>0</v>
      </c>
      <c r="T161" s="22">
        <v>0</v>
      </c>
    </row>
    <row r="162" spans="1:20">
      <c r="A162" s="38" t="s">
        <v>164</v>
      </c>
      <c r="B162" s="101">
        <f t="shared" ref="B162:E162" si="37">SUM(B152:B161)</f>
        <v>0</v>
      </c>
      <c r="C162" s="101">
        <f t="shared" si="37"/>
        <v>0</v>
      </c>
      <c r="D162" s="101">
        <f t="shared" si="37"/>
        <v>3233.88</v>
      </c>
      <c r="E162" s="101">
        <f t="shared" si="37"/>
        <v>0</v>
      </c>
      <c r="F162" s="61">
        <f>SUM(F152:F161)</f>
        <v>7715</v>
      </c>
      <c r="G162" s="20">
        <f t="shared" si="36"/>
        <v>1249</v>
      </c>
      <c r="H162" s="61">
        <f t="shared" ref="H162:P162" si="38">SUM(H152:H161)</f>
        <v>8964</v>
      </c>
      <c r="I162" s="61">
        <f t="shared" si="38"/>
        <v>3785.25</v>
      </c>
      <c r="J162" s="61">
        <f t="shared" si="38"/>
        <v>4000</v>
      </c>
      <c r="K162" s="61">
        <f t="shared" si="38"/>
        <v>3785.25</v>
      </c>
      <c r="L162" s="61">
        <f t="shared" si="38"/>
        <v>3917.74</v>
      </c>
      <c r="M162" s="61">
        <f t="shared" si="38"/>
        <v>4000</v>
      </c>
      <c r="N162" s="61">
        <f t="shared" si="38"/>
        <v>4050</v>
      </c>
      <c r="O162" s="61">
        <f t="shared" si="38"/>
        <v>4054.85</v>
      </c>
      <c r="P162" s="61">
        <f t="shared" si="38"/>
        <v>4055</v>
      </c>
      <c r="Q162" s="43">
        <f t="shared" si="35"/>
        <v>-4055</v>
      </c>
      <c r="R162" s="61">
        <f t="shared" ref="R162" si="39">SUM(R152:R161)</f>
        <v>0</v>
      </c>
      <c r="S162" s="43">
        <f t="shared" si="35"/>
        <v>0</v>
      </c>
      <c r="T162" s="167">
        <f t="shared" ref="T162" si="40">SUM(T152:T161)</f>
        <v>0</v>
      </c>
    </row>
    <row r="163" spans="1:20">
      <c r="A163" s="10"/>
      <c r="B163" s="17"/>
      <c r="C163" s="17"/>
      <c r="D163" s="17"/>
      <c r="E163" s="18"/>
      <c r="F163" s="19"/>
      <c r="G163" s="20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22"/>
    </row>
    <row r="164" spans="1:20">
      <c r="A164" s="10" t="s">
        <v>165</v>
      </c>
      <c r="B164" s="17"/>
      <c r="C164" s="17"/>
      <c r="D164" s="17"/>
      <c r="E164" s="18"/>
      <c r="F164" s="19"/>
      <c r="G164" s="20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22"/>
    </row>
    <row r="165" spans="1:20" hidden="1">
      <c r="A165" s="16" t="s">
        <v>166</v>
      </c>
      <c r="B165" s="18">
        <v>4096.92</v>
      </c>
      <c r="C165" s="18">
        <v>4085.94</v>
      </c>
      <c r="D165" s="18">
        <v>4085.88</v>
      </c>
      <c r="E165" s="18">
        <v>7500</v>
      </c>
      <c r="F165" s="23">
        <v>4175</v>
      </c>
      <c r="G165" s="20">
        <f t="shared" ref="G165:G172" si="41">SUM(H165-F165)</f>
        <v>-175</v>
      </c>
      <c r="H165" s="13">
        <v>4000</v>
      </c>
      <c r="I165" s="13">
        <v>4987.6400000000003</v>
      </c>
      <c r="J165" s="13">
        <v>4100</v>
      </c>
      <c r="K165" s="13">
        <v>4987.6400000000003</v>
      </c>
      <c r="L165" s="13">
        <v>6379.48</v>
      </c>
      <c r="M165" s="13">
        <v>5400</v>
      </c>
      <c r="N165" s="13">
        <f>SUM(M165*1.17)</f>
        <v>6318</v>
      </c>
      <c r="O165" s="13">
        <v>6389.97</v>
      </c>
      <c r="P165" s="13">
        <v>6318</v>
      </c>
      <c r="Q165" s="13">
        <f t="shared" ref="Q165:S172" si="42">SUM(R165-P165)</f>
        <v>632</v>
      </c>
      <c r="R165" s="13">
        <v>6950</v>
      </c>
      <c r="S165" s="13">
        <f t="shared" si="42"/>
        <v>320</v>
      </c>
      <c r="T165" s="22">
        <v>7270</v>
      </c>
    </row>
    <row r="166" spans="1:20" hidden="1">
      <c r="A166" s="16" t="s">
        <v>167</v>
      </c>
      <c r="B166" s="18">
        <v>837.42</v>
      </c>
      <c r="C166" s="18">
        <v>921.97</v>
      </c>
      <c r="D166" s="18">
        <v>1067.6400000000001</v>
      </c>
      <c r="E166" s="18">
        <v>1000</v>
      </c>
      <c r="F166" s="23">
        <v>1168</v>
      </c>
      <c r="G166" s="20">
        <f t="shared" si="41"/>
        <v>-168</v>
      </c>
      <c r="H166" s="13">
        <v>1000</v>
      </c>
      <c r="I166" s="13">
        <v>1644.69</v>
      </c>
      <c r="J166" s="13">
        <v>1250</v>
      </c>
      <c r="K166" s="13">
        <v>1644.69</v>
      </c>
      <c r="L166" s="13">
        <v>1094.9000000000001</v>
      </c>
      <c r="M166" s="13">
        <v>1800</v>
      </c>
      <c r="N166" s="13">
        <v>1700</v>
      </c>
      <c r="O166" s="13">
        <v>1181.81</v>
      </c>
      <c r="P166" s="13">
        <v>1500</v>
      </c>
      <c r="Q166" s="13">
        <f t="shared" si="42"/>
        <v>200</v>
      </c>
      <c r="R166" s="13">
        <v>1700</v>
      </c>
      <c r="S166" s="13">
        <f t="shared" si="42"/>
        <v>124</v>
      </c>
      <c r="T166" s="22">
        <v>1824</v>
      </c>
    </row>
    <row r="167" spans="1:20" hidden="1">
      <c r="A167" s="33" t="s">
        <v>168</v>
      </c>
      <c r="B167" s="27">
        <v>4091.8</v>
      </c>
      <c r="C167" s="27">
        <v>4068.12</v>
      </c>
      <c r="D167" s="27">
        <v>3955.33</v>
      </c>
      <c r="E167" s="27">
        <v>4300</v>
      </c>
      <c r="F167" s="28">
        <v>6302</v>
      </c>
      <c r="G167" s="29">
        <f t="shared" si="41"/>
        <v>-2302</v>
      </c>
      <c r="H167" s="30">
        <v>4000</v>
      </c>
      <c r="I167" s="30">
        <v>6007.09</v>
      </c>
      <c r="J167" s="30">
        <v>5000</v>
      </c>
      <c r="K167" s="30"/>
      <c r="L167" s="30"/>
      <c r="M167" s="30"/>
      <c r="N167" s="30">
        <v>0</v>
      </c>
      <c r="O167" s="30"/>
      <c r="P167" s="30">
        <v>0</v>
      </c>
      <c r="Q167" s="30">
        <f t="shared" si="42"/>
        <v>0</v>
      </c>
      <c r="R167" s="30">
        <v>0</v>
      </c>
      <c r="S167" s="30">
        <f t="shared" si="42"/>
        <v>0</v>
      </c>
      <c r="T167" s="32">
        <v>0</v>
      </c>
    </row>
    <row r="168" spans="1:20" hidden="1">
      <c r="A168" s="16" t="s">
        <v>169</v>
      </c>
      <c r="B168" s="18">
        <v>1162.1600000000001</v>
      </c>
      <c r="C168" s="18">
        <v>1310.67</v>
      </c>
      <c r="D168" s="18">
        <v>1240.04</v>
      </c>
      <c r="E168" s="18">
        <v>1600</v>
      </c>
      <c r="F168" s="23">
        <v>1332</v>
      </c>
      <c r="G168" s="20">
        <f t="shared" si="41"/>
        <v>-32</v>
      </c>
      <c r="H168" s="13">
        <v>1300</v>
      </c>
      <c r="I168" s="13">
        <v>1645.77</v>
      </c>
      <c r="J168" s="13">
        <v>1350</v>
      </c>
      <c r="K168" s="13">
        <v>1645.77</v>
      </c>
      <c r="L168" s="13">
        <v>1920.11</v>
      </c>
      <c r="M168" s="13">
        <v>1400</v>
      </c>
      <c r="N168" s="13">
        <v>1500</v>
      </c>
      <c r="O168" s="13">
        <v>1515.9</v>
      </c>
      <c r="P168" s="13">
        <v>1600</v>
      </c>
      <c r="Q168" s="13">
        <f t="shared" si="42"/>
        <v>0</v>
      </c>
      <c r="R168" s="13">
        <v>1600</v>
      </c>
      <c r="S168" s="13">
        <f t="shared" si="42"/>
        <v>200</v>
      </c>
      <c r="T168" s="22">
        <v>1800</v>
      </c>
    </row>
    <row r="169" spans="1:20" hidden="1">
      <c r="A169" s="16" t="s">
        <v>170</v>
      </c>
      <c r="B169" s="18"/>
      <c r="C169" s="18"/>
      <c r="D169" s="18"/>
      <c r="E169" s="18"/>
      <c r="F169" s="23">
        <v>845</v>
      </c>
      <c r="G169" s="20">
        <f t="shared" si="41"/>
        <v>155</v>
      </c>
      <c r="H169" s="13">
        <v>1000</v>
      </c>
      <c r="I169" s="13">
        <v>1358.16</v>
      </c>
      <c r="J169" s="13">
        <v>1200</v>
      </c>
      <c r="K169" s="13">
        <v>1358.16</v>
      </c>
      <c r="L169" s="13">
        <v>1537</v>
      </c>
      <c r="M169" s="13">
        <v>1200</v>
      </c>
      <c r="N169" s="13">
        <v>1100</v>
      </c>
      <c r="O169" s="13">
        <v>1231</v>
      </c>
      <c r="P169" s="13">
        <v>1100</v>
      </c>
      <c r="Q169" s="13">
        <f t="shared" si="42"/>
        <v>100</v>
      </c>
      <c r="R169" s="13">
        <v>1200</v>
      </c>
      <c r="S169" s="13">
        <f t="shared" si="42"/>
        <v>0</v>
      </c>
      <c r="T169" s="22">
        <v>1200</v>
      </c>
    </row>
    <row r="170" spans="1:20" hidden="1">
      <c r="A170" s="16" t="s">
        <v>171</v>
      </c>
      <c r="B170" s="18"/>
      <c r="C170" s="18"/>
      <c r="D170" s="18"/>
      <c r="E170" s="18"/>
      <c r="F170" s="23">
        <v>364</v>
      </c>
      <c r="G170" s="20">
        <f t="shared" si="41"/>
        <v>-114</v>
      </c>
      <c r="H170" s="13">
        <v>250</v>
      </c>
      <c r="I170" s="13">
        <v>227.62</v>
      </c>
      <c r="J170" s="13">
        <v>250</v>
      </c>
      <c r="K170" s="13">
        <v>227.62</v>
      </c>
      <c r="L170" s="13">
        <v>156.22999999999999</v>
      </c>
      <c r="M170" s="13">
        <v>300</v>
      </c>
      <c r="N170" s="13">
        <v>300</v>
      </c>
      <c r="O170" s="13">
        <v>878.35</v>
      </c>
      <c r="P170" s="13">
        <v>960</v>
      </c>
      <c r="Q170" s="13">
        <f t="shared" si="42"/>
        <v>0</v>
      </c>
      <c r="R170" s="13">
        <v>960</v>
      </c>
      <c r="S170" s="13">
        <f t="shared" si="42"/>
        <v>0</v>
      </c>
      <c r="T170" s="22">
        <v>960</v>
      </c>
    </row>
    <row r="171" spans="1:20" hidden="1">
      <c r="A171" s="16" t="s">
        <v>172</v>
      </c>
      <c r="B171" s="18">
        <v>694.46</v>
      </c>
      <c r="C171" s="18">
        <v>966.61</v>
      </c>
      <c r="D171" s="18">
        <v>1537.26</v>
      </c>
      <c r="E171" s="18">
        <v>1000</v>
      </c>
      <c r="F171" s="23">
        <v>1824</v>
      </c>
      <c r="G171" s="20">
        <f t="shared" si="41"/>
        <v>376</v>
      </c>
      <c r="H171" s="13">
        <v>2200</v>
      </c>
      <c r="I171" s="13">
        <v>2360.66</v>
      </c>
      <c r="J171" s="13">
        <v>2000</v>
      </c>
      <c r="K171" s="13">
        <v>2360.66</v>
      </c>
      <c r="L171" s="13">
        <v>2078.46</v>
      </c>
      <c r="M171" s="13">
        <v>2000</v>
      </c>
      <c r="N171" s="13">
        <v>1500</v>
      </c>
      <c r="O171" s="13">
        <v>2494.04</v>
      </c>
      <c r="P171" s="13">
        <v>1500</v>
      </c>
      <c r="Q171" s="13">
        <f t="shared" si="42"/>
        <v>0</v>
      </c>
      <c r="R171" s="13">
        <v>1500</v>
      </c>
      <c r="S171" s="13">
        <f t="shared" si="42"/>
        <v>-250</v>
      </c>
      <c r="T171" s="22">
        <v>1250</v>
      </c>
    </row>
    <row r="172" spans="1:20" ht="25.5">
      <c r="A172" s="38" t="s">
        <v>173</v>
      </c>
      <c r="B172" s="39">
        <f t="shared" ref="B172:O172" si="43">SUM(B165:B171)</f>
        <v>10882.759999999998</v>
      </c>
      <c r="C172" s="39">
        <f t="shared" si="43"/>
        <v>11353.31</v>
      </c>
      <c r="D172" s="39">
        <f t="shared" si="43"/>
        <v>11886.15</v>
      </c>
      <c r="E172" s="39">
        <f t="shared" si="43"/>
        <v>15400</v>
      </c>
      <c r="F172" s="42">
        <f t="shared" si="43"/>
        <v>16010</v>
      </c>
      <c r="G172" s="20">
        <f t="shared" si="41"/>
        <v>-2260</v>
      </c>
      <c r="H172" s="42">
        <f t="shared" si="43"/>
        <v>13750</v>
      </c>
      <c r="I172" s="42">
        <f t="shared" si="43"/>
        <v>18231.63</v>
      </c>
      <c r="J172" s="42">
        <f t="shared" si="43"/>
        <v>15150</v>
      </c>
      <c r="K172" s="42">
        <f t="shared" si="43"/>
        <v>12224.54</v>
      </c>
      <c r="L172" s="42">
        <f t="shared" si="43"/>
        <v>13166.18</v>
      </c>
      <c r="M172" s="42">
        <f t="shared" si="43"/>
        <v>12100</v>
      </c>
      <c r="N172" s="42">
        <f>SUM(N165:N171)</f>
        <v>12418</v>
      </c>
      <c r="O172" s="42">
        <f t="shared" si="43"/>
        <v>13691.07</v>
      </c>
      <c r="P172" s="42">
        <f>SUM(P165:P171)</f>
        <v>12978</v>
      </c>
      <c r="Q172" s="43">
        <f t="shared" si="42"/>
        <v>932</v>
      </c>
      <c r="R172" s="42">
        <f t="shared" ref="R172" si="44">SUM(R165:R171)</f>
        <v>13910</v>
      </c>
      <c r="S172" s="43">
        <f t="shared" si="42"/>
        <v>394</v>
      </c>
      <c r="T172" s="44">
        <f t="shared" ref="T172" si="45">SUM(T165:T171)</f>
        <v>14304</v>
      </c>
    </row>
    <row r="173" spans="1:20">
      <c r="A173" s="16"/>
      <c r="B173" s="2"/>
      <c r="C173" s="2"/>
      <c r="D173" s="2"/>
      <c r="E173" s="18"/>
      <c r="F173" s="97"/>
      <c r="G173" s="20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22"/>
    </row>
    <row r="174" spans="1:20">
      <c r="A174" s="10" t="s">
        <v>174</v>
      </c>
      <c r="B174" s="2"/>
      <c r="C174" s="2"/>
      <c r="D174" s="2"/>
      <c r="E174" s="18"/>
      <c r="F174" s="97"/>
      <c r="G174" s="20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22"/>
    </row>
    <row r="175" spans="1:20" hidden="1">
      <c r="A175" s="16" t="s">
        <v>175</v>
      </c>
      <c r="B175" s="2"/>
      <c r="C175" s="2"/>
      <c r="D175" s="2"/>
      <c r="E175" s="18"/>
      <c r="F175" s="97">
        <v>1061</v>
      </c>
      <c r="G175" s="20">
        <f>SUM(H175-F175)</f>
        <v>139</v>
      </c>
      <c r="H175" s="13">
        <v>1200</v>
      </c>
      <c r="I175" s="13">
        <v>2111.63</v>
      </c>
      <c r="J175" s="13">
        <v>1500</v>
      </c>
      <c r="K175" s="13">
        <v>2111.63</v>
      </c>
      <c r="L175" s="13">
        <v>2677.66</v>
      </c>
      <c r="M175" s="13">
        <v>2000</v>
      </c>
      <c r="N175" s="13">
        <v>2500</v>
      </c>
      <c r="O175" s="13">
        <v>2972.48</v>
      </c>
      <c r="P175" s="13">
        <v>2500</v>
      </c>
      <c r="Q175" s="13">
        <f t="shared" ref="Q175:S181" si="46">SUM(R175-P175)</f>
        <v>0</v>
      </c>
      <c r="R175" s="13">
        <v>2500</v>
      </c>
      <c r="S175" s="13">
        <f t="shared" si="46"/>
        <v>115</v>
      </c>
      <c r="T175" s="22">
        <v>2615</v>
      </c>
    </row>
    <row r="176" spans="1:20" hidden="1">
      <c r="A176" s="16" t="s">
        <v>176</v>
      </c>
      <c r="B176" s="2"/>
      <c r="C176" s="2"/>
      <c r="D176" s="2"/>
      <c r="E176" s="18"/>
      <c r="F176" s="97"/>
      <c r="G176" s="20"/>
      <c r="H176" s="13"/>
      <c r="I176" s="13"/>
      <c r="J176" s="13">
        <f>SUM(80*12)</f>
        <v>960</v>
      </c>
      <c r="K176" s="13"/>
      <c r="L176" s="13"/>
      <c r="M176" s="13">
        <v>0</v>
      </c>
      <c r="N176" s="13">
        <v>0</v>
      </c>
      <c r="O176" s="13"/>
      <c r="P176" s="13">
        <v>0</v>
      </c>
      <c r="Q176" s="13">
        <f t="shared" si="46"/>
        <v>0</v>
      </c>
      <c r="R176" s="13">
        <v>0</v>
      </c>
      <c r="S176" s="13">
        <f t="shared" si="46"/>
        <v>0</v>
      </c>
      <c r="T176" s="22">
        <v>0</v>
      </c>
    </row>
    <row r="177" spans="1:20" hidden="1">
      <c r="A177" s="16" t="s">
        <v>177</v>
      </c>
      <c r="B177" s="2"/>
      <c r="C177" s="2"/>
      <c r="D177" s="2"/>
      <c r="E177" s="18"/>
      <c r="F177" s="97">
        <v>69</v>
      </c>
      <c r="G177" s="20">
        <f>SUM(H177-F177)</f>
        <v>-69</v>
      </c>
      <c r="H177" s="13">
        <v>0</v>
      </c>
      <c r="I177" s="13"/>
      <c r="J177" s="13">
        <v>0</v>
      </c>
      <c r="K177" s="13"/>
      <c r="L177" s="13"/>
      <c r="M177" s="13">
        <v>0</v>
      </c>
      <c r="N177" s="13">
        <v>0</v>
      </c>
      <c r="O177" s="13"/>
      <c r="P177" s="13">
        <v>0</v>
      </c>
      <c r="Q177" s="13">
        <f t="shared" si="46"/>
        <v>0</v>
      </c>
      <c r="R177" s="13">
        <v>0</v>
      </c>
      <c r="S177" s="13">
        <f t="shared" si="46"/>
        <v>0</v>
      </c>
      <c r="T177" s="22">
        <v>0</v>
      </c>
    </row>
    <row r="178" spans="1:20" hidden="1">
      <c r="A178" s="16" t="s">
        <v>178</v>
      </c>
      <c r="B178" s="2"/>
      <c r="C178" s="2"/>
      <c r="D178" s="2"/>
      <c r="E178" s="18"/>
      <c r="F178" s="97">
        <v>1319</v>
      </c>
      <c r="G178" s="20">
        <f>SUM(H178-F178)</f>
        <v>-79</v>
      </c>
      <c r="H178" s="13">
        <v>1240</v>
      </c>
      <c r="I178" s="13">
        <v>1333.35</v>
      </c>
      <c r="J178" s="13">
        <f>SUM(105*12)</f>
        <v>1260</v>
      </c>
      <c r="K178" s="13">
        <v>1333.35</v>
      </c>
      <c r="L178" s="13">
        <v>1519.8</v>
      </c>
      <c r="M178" s="13">
        <v>1350</v>
      </c>
      <c r="N178" s="13">
        <v>1500</v>
      </c>
      <c r="O178" s="13">
        <v>1408.7</v>
      </c>
      <c r="P178" s="13">
        <v>1500</v>
      </c>
      <c r="Q178" s="13">
        <f t="shared" si="46"/>
        <v>0</v>
      </c>
      <c r="R178" s="13">
        <v>1500</v>
      </c>
      <c r="S178" s="13">
        <f t="shared" si="46"/>
        <v>107</v>
      </c>
      <c r="T178" s="22">
        <v>1607</v>
      </c>
    </row>
    <row r="179" spans="1:20" hidden="1">
      <c r="A179" s="16" t="s">
        <v>179</v>
      </c>
      <c r="B179" s="2"/>
      <c r="C179" s="2"/>
      <c r="D179" s="2"/>
      <c r="E179" s="18"/>
      <c r="F179" s="97"/>
      <c r="G179" s="20"/>
      <c r="H179" s="13"/>
      <c r="I179" s="13"/>
      <c r="J179" s="13"/>
      <c r="K179" s="13"/>
      <c r="L179" s="13">
        <v>179.85</v>
      </c>
      <c r="M179" s="13"/>
      <c r="N179" s="13">
        <v>900</v>
      </c>
      <c r="O179" s="13">
        <v>734.45</v>
      </c>
      <c r="P179" s="13">
        <v>900</v>
      </c>
      <c r="Q179" s="13">
        <f t="shared" si="46"/>
        <v>-100</v>
      </c>
      <c r="R179" s="13">
        <v>800</v>
      </c>
      <c r="S179" s="13">
        <f t="shared" si="46"/>
        <v>0</v>
      </c>
      <c r="T179" s="22">
        <v>800</v>
      </c>
    </row>
    <row r="180" spans="1:20" hidden="1">
      <c r="A180" s="16" t="s">
        <v>180</v>
      </c>
      <c r="B180" s="17"/>
      <c r="C180" s="17"/>
      <c r="D180" s="17"/>
      <c r="E180" s="18"/>
      <c r="F180" s="19"/>
      <c r="G180" s="20"/>
      <c r="H180" s="13"/>
      <c r="I180" s="13"/>
      <c r="J180" s="13"/>
      <c r="K180" s="13"/>
      <c r="L180" s="13"/>
      <c r="M180" s="13">
        <v>100</v>
      </c>
      <c r="N180" s="13">
        <v>0</v>
      </c>
      <c r="O180" s="13"/>
      <c r="P180" s="13">
        <v>0</v>
      </c>
      <c r="Q180" s="13">
        <f t="shared" si="46"/>
        <v>0</v>
      </c>
      <c r="R180" s="13">
        <v>0</v>
      </c>
      <c r="S180" s="13">
        <f t="shared" si="46"/>
        <v>0</v>
      </c>
      <c r="T180" s="22">
        <v>0</v>
      </c>
    </row>
    <row r="181" spans="1:20">
      <c r="A181" s="38" t="s">
        <v>181</v>
      </c>
      <c r="B181" s="39">
        <f t="shared" ref="B181:J181" si="47">SUM(B175:B179)</f>
        <v>0</v>
      </c>
      <c r="C181" s="39">
        <f t="shared" si="47"/>
        <v>0</v>
      </c>
      <c r="D181" s="39">
        <f t="shared" si="47"/>
        <v>0</v>
      </c>
      <c r="E181" s="39">
        <f t="shared" si="47"/>
        <v>0</v>
      </c>
      <c r="F181" s="42">
        <f t="shared" si="47"/>
        <v>2449</v>
      </c>
      <c r="G181" s="42">
        <f t="shared" si="47"/>
        <v>-9</v>
      </c>
      <c r="H181" s="42">
        <f t="shared" si="47"/>
        <v>2440</v>
      </c>
      <c r="I181" s="42">
        <f t="shared" si="47"/>
        <v>3444.98</v>
      </c>
      <c r="J181" s="42">
        <f t="shared" si="47"/>
        <v>3720</v>
      </c>
      <c r="K181" s="42">
        <f t="shared" ref="K181:P181" si="48">SUM(K175:K180)</f>
        <v>3444.98</v>
      </c>
      <c r="L181" s="42">
        <f t="shared" si="48"/>
        <v>4377.3100000000004</v>
      </c>
      <c r="M181" s="42">
        <f t="shared" si="48"/>
        <v>3450</v>
      </c>
      <c r="N181" s="42">
        <f t="shared" si="48"/>
        <v>4900</v>
      </c>
      <c r="O181" s="42">
        <f t="shared" si="48"/>
        <v>5115.63</v>
      </c>
      <c r="P181" s="42">
        <f t="shared" si="48"/>
        <v>4900</v>
      </c>
      <c r="Q181" s="43">
        <f t="shared" si="46"/>
        <v>-100</v>
      </c>
      <c r="R181" s="42">
        <f>SUM(R175:R180)</f>
        <v>4800</v>
      </c>
      <c r="S181" s="43">
        <f t="shared" si="46"/>
        <v>222</v>
      </c>
      <c r="T181" s="44">
        <f>SUM(T175:T180)</f>
        <v>5022</v>
      </c>
    </row>
    <row r="182" spans="1:20">
      <c r="A182" s="78"/>
      <c r="B182" s="102"/>
      <c r="C182" s="102"/>
      <c r="D182" s="102"/>
      <c r="E182" s="102"/>
      <c r="F182" s="103"/>
      <c r="G182" s="103"/>
      <c r="H182" s="103"/>
      <c r="I182" s="103"/>
      <c r="J182" s="103"/>
      <c r="K182" s="103"/>
      <c r="L182" s="103"/>
      <c r="M182" s="103"/>
      <c r="N182" s="103"/>
      <c r="O182" s="103"/>
      <c r="P182" s="103"/>
      <c r="Q182" s="24"/>
      <c r="R182" s="103"/>
      <c r="S182" s="24"/>
      <c r="T182" s="100"/>
    </row>
    <row r="183" spans="1:20">
      <c r="A183" s="10" t="s">
        <v>182</v>
      </c>
      <c r="B183" s="2"/>
      <c r="C183" s="2"/>
      <c r="D183" s="2"/>
      <c r="E183" s="18"/>
      <c r="F183" s="97"/>
      <c r="G183" s="20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22"/>
    </row>
    <row r="184" spans="1:20" hidden="1">
      <c r="A184" s="16" t="s">
        <v>183</v>
      </c>
      <c r="B184" s="2"/>
      <c r="C184" s="2"/>
      <c r="D184" s="2"/>
      <c r="E184" s="18"/>
      <c r="F184" s="97">
        <v>1061</v>
      </c>
      <c r="G184" s="20">
        <f>SUM(H184-F184)</f>
        <v>139</v>
      </c>
      <c r="H184" s="13">
        <v>1200</v>
      </c>
      <c r="I184" s="13">
        <v>2111.63</v>
      </c>
      <c r="J184" s="13">
        <v>1500</v>
      </c>
      <c r="K184" s="13"/>
      <c r="L184" s="13"/>
      <c r="M184" s="13"/>
      <c r="N184" s="13"/>
      <c r="O184" s="13"/>
      <c r="P184" s="13"/>
      <c r="Q184" s="13">
        <f t="shared" ref="Q184:Q191" si="49">SUM(R184-P184)</f>
        <v>0</v>
      </c>
      <c r="R184" s="13"/>
      <c r="S184" s="13">
        <f t="shared" ref="S184:S191" si="50">SUM(T184-R184)</f>
        <v>1000</v>
      </c>
      <c r="T184" s="22">
        <v>1000</v>
      </c>
    </row>
    <row r="185" spans="1:20" hidden="1">
      <c r="A185" s="16" t="s">
        <v>184</v>
      </c>
      <c r="B185" s="2"/>
      <c r="C185" s="2"/>
      <c r="D185" s="2"/>
      <c r="E185" s="18"/>
      <c r="F185" s="97"/>
      <c r="G185" s="20"/>
      <c r="H185" s="13"/>
      <c r="I185" s="13"/>
      <c r="J185" s="13">
        <f>SUM(80*12)</f>
        <v>960</v>
      </c>
      <c r="K185" s="13"/>
      <c r="L185" s="13"/>
      <c r="M185" s="13"/>
      <c r="N185" s="13"/>
      <c r="O185" s="13"/>
      <c r="P185" s="13"/>
      <c r="Q185" s="13">
        <f t="shared" si="49"/>
        <v>0</v>
      </c>
      <c r="R185" s="13"/>
      <c r="S185" s="13">
        <f t="shared" si="50"/>
        <v>1200</v>
      </c>
      <c r="T185" s="22">
        <v>1200</v>
      </c>
    </row>
    <row r="186" spans="1:20" hidden="1">
      <c r="A186" s="16" t="s">
        <v>185</v>
      </c>
      <c r="B186" s="2"/>
      <c r="C186" s="2"/>
      <c r="D186" s="2"/>
      <c r="E186" s="18"/>
      <c r="F186" s="97">
        <v>1319</v>
      </c>
      <c r="G186" s="20">
        <f>SUM(H186-F186)</f>
        <v>-79</v>
      </c>
      <c r="H186" s="13">
        <v>1240</v>
      </c>
      <c r="I186" s="13">
        <v>1333.35</v>
      </c>
      <c r="J186" s="13">
        <f>SUM(105*12)</f>
        <v>1260</v>
      </c>
      <c r="K186" s="13"/>
      <c r="L186" s="13"/>
      <c r="M186" s="13"/>
      <c r="N186" s="13"/>
      <c r="O186" s="13"/>
      <c r="P186" s="13"/>
      <c r="Q186" s="13">
        <f t="shared" si="49"/>
        <v>0</v>
      </c>
      <c r="R186" s="13"/>
      <c r="S186" s="13">
        <f t="shared" si="50"/>
        <v>500</v>
      </c>
      <c r="T186" s="22">
        <v>500</v>
      </c>
    </row>
    <row r="187" spans="1:20" hidden="1">
      <c r="A187" s="16" t="s">
        <v>186</v>
      </c>
      <c r="B187" s="2"/>
      <c r="C187" s="2"/>
      <c r="D187" s="2"/>
      <c r="E187" s="18"/>
      <c r="F187" s="97"/>
      <c r="G187" s="20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22">
        <v>660</v>
      </c>
    </row>
    <row r="188" spans="1:20" hidden="1">
      <c r="A188" s="34" t="s">
        <v>187</v>
      </c>
      <c r="B188" s="104"/>
      <c r="C188" s="104"/>
      <c r="D188" s="104"/>
      <c r="E188" s="27"/>
      <c r="F188" s="105">
        <v>5410</v>
      </c>
      <c r="G188" s="29">
        <f>SUM(H188-F188)</f>
        <v>-4410</v>
      </c>
      <c r="H188" s="30">
        <v>1000</v>
      </c>
      <c r="I188" s="30"/>
      <c r="J188" s="30">
        <v>0</v>
      </c>
      <c r="K188" s="30"/>
      <c r="L188" s="30"/>
      <c r="M188" s="30"/>
      <c r="N188" s="30"/>
      <c r="O188" s="30"/>
      <c r="P188" s="30"/>
      <c r="Q188" s="30">
        <f>SUM(R188-P188)</f>
        <v>0</v>
      </c>
      <c r="R188" s="30"/>
      <c r="S188" s="13">
        <f>SUM(T188-R188)</f>
        <v>200</v>
      </c>
      <c r="T188" s="22">
        <v>200</v>
      </c>
    </row>
    <row r="189" spans="1:20" hidden="1">
      <c r="A189" s="34" t="s">
        <v>188</v>
      </c>
      <c r="B189" s="104"/>
      <c r="C189" s="104"/>
      <c r="D189" s="104"/>
      <c r="E189" s="27"/>
      <c r="F189" s="105"/>
      <c r="G189" s="29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13"/>
      <c r="T189" s="22">
        <v>300</v>
      </c>
    </row>
    <row r="190" spans="1:20" hidden="1">
      <c r="A190" s="16" t="s">
        <v>189</v>
      </c>
      <c r="B190" s="2"/>
      <c r="C190" s="2"/>
      <c r="D190" s="2"/>
      <c r="E190" s="18"/>
      <c r="F190" s="97"/>
      <c r="G190" s="20"/>
      <c r="H190" s="13"/>
      <c r="I190" s="13"/>
      <c r="J190" s="13"/>
      <c r="K190" s="13"/>
      <c r="L190" s="13"/>
      <c r="M190" s="13"/>
      <c r="N190" s="13"/>
      <c r="O190" s="13"/>
      <c r="P190" s="13"/>
      <c r="Q190" s="13">
        <f t="shared" si="49"/>
        <v>0</v>
      </c>
      <c r="R190" s="13"/>
      <c r="S190" s="13">
        <f t="shared" si="50"/>
        <v>510</v>
      </c>
      <c r="T190" s="22">
        <v>510</v>
      </c>
    </row>
    <row r="191" spans="1:20" ht="25.5">
      <c r="A191" s="38" t="s">
        <v>190</v>
      </c>
      <c r="B191" s="39">
        <f t="shared" ref="B191:J191" si="51">SUM(B182:B186)</f>
        <v>0</v>
      </c>
      <c r="C191" s="39">
        <f t="shared" si="51"/>
        <v>0</v>
      </c>
      <c r="D191" s="39">
        <f t="shared" si="51"/>
        <v>0</v>
      </c>
      <c r="E191" s="39">
        <f t="shared" si="51"/>
        <v>0</v>
      </c>
      <c r="F191" s="42">
        <f t="shared" si="51"/>
        <v>2380</v>
      </c>
      <c r="G191" s="42">
        <f t="shared" si="51"/>
        <v>60</v>
      </c>
      <c r="H191" s="42">
        <f t="shared" si="51"/>
        <v>2440</v>
      </c>
      <c r="I191" s="42">
        <f t="shared" si="51"/>
        <v>3444.98</v>
      </c>
      <c r="J191" s="42">
        <f t="shared" si="51"/>
        <v>3720</v>
      </c>
      <c r="K191" s="42">
        <f t="shared" ref="K191:O191" si="52">SUM(K182:K190)</f>
        <v>0</v>
      </c>
      <c r="L191" s="42">
        <f t="shared" si="52"/>
        <v>0</v>
      </c>
      <c r="M191" s="42">
        <f t="shared" si="52"/>
        <v>0</v>
      </c>
      <c r="N191" s="42">
        <f>SUM(N182:N190)</f>
        <v>0</v>
      </c>
      <c r="O191" s="42">
        <f t="shared" si="52"/>
        <v>0</v>
      </c>
      <c r="P191" s="42">
        <f>SUM(P182:P190)</f>
        <v>0</v>
      </c>
      <c r="Q191" s="43">
        <f t="shared" si="49"/>
        <v>0</v>
      </c>
      <c r="R191" s="42">
        <f t="shared" ref="R191" si="53">SUM(R182:R190)</f>
        <v>0</v>
      </c>
      <c r="S191" s="43">
        <f t="shared" si="50"/>
        <v>4370</v>
      </c>
      <c r="T191" s="44">
        <f t="shared" ref="T191" si="54">SUM(T182:T190)</f>
        <v>4370</v>
      </c>
    </row>
    <row r="192" spans="1:20">
      <c r="A192" s="16"/>
      <c r="B192" s="2"/>
      <c r="C192" s="2"/>
      <c r="D192" s="2"/>
      <c r="E192" s="18"/>
      <c r="F192" s="97"/>
      <c r="G192" s="20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22"/>
    </row>
    <row r="193" spans="1:20">
      <c r="A193" s="10" t="s">
        <v>191</v>
      </c>
      <c r="B193" s="2"/>
      <c r="C193" s="2"/>
      <c r="D193" s="2"/>
      <c r="E193" s="18"/>
      <c r="F193" s="97"/>
      <c r="G193" s="20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22"/>
    </row>
    <row r="194" spans="1:20" hidden="1">
      <c r="A194" s="33" t="s">
        <v>192</v>
      </c>
      <c r="B194" s="104"/>
      <c r="C194" s="104"/>
      <c r="D194" s="104"/>
      <c r="E194" s="27"/>
      <c r="F194" s="105"/>
      <c r="G194" s="29">
        <f t="shared" ref="G194:G197" si="55">SUM(H194-F194)</f>
        <v>1200</v>
      </c>
      <c r="H194" s="30">
        <v>1200</v>
      </c>
      <c r="I194" s="30">
        <v>221.37</v>
      </c>
      <c r="J194" s="30">
        <v>500</v>
      </c>
      <c r="K194" s="30">
        <v>221.37</v>
      </c>
      <c r="L194" s="30">
        <v>699.89</v>
      </c>
      <c r="M194" s="30">
        <v>1000</v>
      </c>
      <c r="N194" s="30">
        <v>0</v>
      </c>
      <c r="O194" s="30">
        <v>204.73</v>
      </c>
      <c r="P194" s="30">
        <v>210</v>
      </c>
      <c r="Q194" s="30">
        <f t="shared" ref="Q194:S199" si="56">SUM(R194-P194)</f>
        <v>-210</v>
      </c>
      <c r="R194" s="30">
        <v>0</v>
      </c>
      <c r="S194" s="30">
        <f t="shared" si="56"/>
        <v>0</v>
      </c>
      <c r="T194" s="32">
        <v>0</v>
      </c>
    </row>
    <row r="195" spans="1:20" hidden="1">
      <c r="A195" s="33" t="s">
        <v>193</v>
      </c>
      <c r="B195" s="104"/>
      <c r="C195" s="104"/>
      <c r="D195" s="104"/>
      <c r="E195" s="27"/>
      <c r="F195" s="105"/>
      <c r="G195" s="29">
        <f t="shared" si="55"/>
        <v>0</v>
      </c>
      <c r="H195" s="30">
        <v>0</v>
      </c>
      <c r="I195" s="30">
        <v>680.84</v>
      </c>
      <c r="J195" s="30">
        <f>SUM(50*12)</f>
        <v>600</v>
      </c>
      <c r="K195" s="30">
        <v>680.84</v>
      </c>
      <c r="L195" s="30">
        <v>79.86</v>
      </c>
      <c r="M195" s="30">
        <v>0</v>
      </c>
      <c r="N195" s="30">
        <v>0</v>
      </c>
      <c r="O195" s="30"/>
      <c r="P195" s="30">
        <v>0</v>
      </c>
      <c r="Q195" s="30">
        <f t="shared" si="56"/>
        <v>0</v>
      </c>
      <c r="R195" s="30">
        <v>0</v>
      </c>
      <c r="S195" s="30">
        <f t="shared" si="56"/>
        <v>0</v>
      </c>
      <c r="T195" s="32">
        <v>0</v>
      </c>
    </row>
    <row r="196" spans="1:20" hidden="1">
      <c r="A196" s="33" t="s">
        <v>194</v>
      </c>
      <c r="B196" s="104"/>
      <c r="C196" s="104"/>
      <c r="D196" s="104"/>
      <c r="E196" s="27"/>
      <c r="F196" s="105"/>
      <c r="G196" s="29">
        <f t="shared" si="55"/>
        <v>1240</v>
      </c>
      <c r="H196" s="30">
        <v>1240</v>
      </c>
      <c r="I196" s="30">
        <v>1351.75</v>
      </c>
      <c r="J196" s="30">
        <f>SUM(105*12)</f>
        <v>1260</v>
      </c>
      <c r="K196" s="30">
        <v>1351.75</v>
      </c>
      <c r="L196" s="30">
        <v>1565.37</v>
      </c>
      <c r="M196" s="30">
        <v>1350</v>
      </c>
      <c r="N196" s="30">
        <v>0</v>
      </c>
      <c r="O196" s="30">
        <v>528.16999999999996</v>
      </c>
      <c r="P196" s="30">
        <v>650</v>
      </c>
      <c r="Q196" s="30">
        <f t="shared" si="56"/>
        <v>-150</v>
      </c>
      <c r="R196" s="30">
        <v>500</v>
      </c>
      <c r="S196" s="30">
        <f t="shared" si="56"/>
        <v>-500</v>
      </c>
      <c r="T196" s="32">
        <v>0</v>
      </c>
    </row>
    <row r="197" spans="1:20" hidden="1">
      <c r="A197" s="106" t="s">
        <v>195</v>
      </c>
      <c r="B197" s="104"/>
      <c r="C197" s="104"/>
      <c r="D197" s="104"/>
      <c r="E197" s="27"/>
      <c r="F197" s="30">
        <v>0</v>
      </c>
      <c r="G197" s="29">
        <f t="shared" si="55"/>
        <v>1000</v>
      </c>
      <c r="H197" s="30">
        <v>1000</v>
      </c>
      <c r="I197" s="30"/>
      <c r="J197" s="30">
        <v>0</v>
      </c>
      <c r="K197" s="30"/>
      <c r="L197" s="30"/>
      <c r="M197" s="30">
        <v>0</v>
      </c>
      <c r="N197" s="30">
        <v>0</v>
      </c>
      <c r="O197" s="30"/>
      <c r="P197" s="30">
        <v>0</v>
      </c>
      <c r="Q197" s="30">
        <f t="shared" si="56"/>
        <v>0</v>
      </c>
      <c r="R197" s="30">
        <v>0</v>
      </c>
      <c r="S197" s="30">
        <f t="shared" si="56"/>
        <v>0</v>
      </c>
      <c r="T197" s="32">
        <v>0</v>
      </c>
    </row>
    <row r="198" spans="1:20" hidden="1">
      <c r="A198" s="30" t="s">
        <v>196</v>
      </c>
      <c r="B198" s="30"/>
      <c r="C198" s="30"/>
      <c r="D198" s="30"/>
      <c r="E198" s="30"/>
      <c r="F198" s="30"/>
      <c r="G198" s="30"/>
      <c r="H198" s="30"/>
      <c r="I198" s="30">
        <v>48.69</v>
      </c>
      <c r="J198" s="30"/>
      <c r="K198" s="30">
        <v>48.69</v>
      </c>
      <c r="L198" s="30"/>
      <c r="M198" s="30">
        <v>100</v>
      </c>
      <c r="N198" s="30">
        <v>0</v>
      </c>
      <c r="O198" s="30"/>
      <c r="P198" s="30">
        <v>0</v>
      </c>
      <c r="Q198" s="30">
        <f t="shared" si="56"/>
        <v>0</v>
      </c>
      <c r="R198" s="30">
        <v>0</v>
      </c>
      <c r="S198" s="30">
        <f t="shared" si="56"/>
        <v>0</v>
      </c>
      <c r="T198" s="32">
        <v>0</v>
      </c>
    </row>
    <row r="199" spans="1:20">
      <c r="A199" s="38" t="s">
        <v>197</v>
      </c>
      <c r="B199" s="39">
        <f t="shared" ref="B199:J199" si="57">SUM(B194:B197)</f>
        <v>0</v>
      </c>
      <c r="C199" s="39">
        <f t="shared" si="57"/>
        <v>0</v>
      </c>
      <c r="D199" s="39">
        <f t="shared" si="57"/>
        <v>0</v>
      </c>
      <c r="E199" s="39">
        <f t="shared" si="57"/>
        <v>0</v>
      </c>
      <c r="F199" s="42">
        <f t="shared" si="57"/>
        <v>0</v>
      </c>
      <c r="G199" s="42">
        <f t="shared" si="57"/>
        <v>3440</v>
      </c>
      <c r="H199" s="42">
        <f t="shared" si="57"/>
        <v>3440</v>
      </c>
      <c r="I199" s="42">
        <f>SUM(I194:I198)</f>
        <v>2302.65</v>
      </c>
      <c r="J199" s="42">
        <f t="shared" si="57"/>
        <v>2360</v>
      </c>
      <c r="K199" s="42">
        <f t="shared" ref="K199:O199" si="58">SUM(K194:K198)</f>
        <v>2302.65</v>
      </c>
      <c r="L199" s="42">
        <f t="shared" si="58"/>
        <v>2345.12</v>
      </c>
      <c r="M199" s="42">
        <f t="shared" si="58"/>
        <v>2450</v>
      </c>
      <c r="N199" s="42">
        <f>SUM(N194:N198)</f>
        <v>0</v>
      </c>
      <c r="O199" s="42">
        <f t="shared" si="58"/>
        <v>732.9</v>
      </c>
      <c r="P199" s="42">
        <f>SUM(P194:P198)</f>
        <v>860</v>
      </c>
      <c r="Q199" s="43">
        <f t="shared" si="56"/>
        <v>-360</v>
      </c>
      <c r="R199" s="42">
        <f t="shared" ref="R199" si="59">SUM(R194:R198)</f>
        <v>500</v>
      </c>
      <c r="S199" s="43">
        <f t="shared" si="56"/>
        <v>-500</v>
      </c>
      <c r="T199" s="44">
        <f t="shared" ref="T199" si="60">SUM(T194:T198)</f>
        <v>0</v>
      </c>
    </row>
    <row r="200" spans="1:20">
      <c r="A200" s="16"/>
      <c r="B200" s="2"/>
      <c r="C200" s="2"/>
      <c r="D200" s="2"/>
      <c r="E200" s="18"/>
      <c r="F200" s="97"/>
      <c r="G200" s="20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22"/>
    </row>
    <row r="201" spans="1:20">
      <c r="A201" s="1" t="s">
        <v>198</v>
      </c>
      <c r="B201" s="2"/>
      <c r="C201" s="2"/>
      <c r="D201" s="2"/>
      <c r="E201" s="18"/>
      <c r="F201" s="97"/>
      <c r="G201" s="20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22"/>
    </row>
    <row r="202" spans="1:20" hidden="1">
      <c r="A202" s="16" t="s">
        <v>199</v>
      </c>
      <c r="B202" s="2"/>
      <c r="C202" s="2"/>
      <c r="D202" s="2"/>
      <c r="E202" s="18"/>
      <c r="F202" s="97">
        <v>1061</v>
      </c>
      <c r="G202" s="20">
        <f t="shared" ref="G202:G204" si="61">SUM(H202-F202)</f>
        <v>139</v>
      </c>
      <c r="H202" s="13">
        <v>1200</v>
      </c>
      <c r="I202" s="13">
        <v>2111.63</v>
      </c>
      <c r="J202" s="13">
        <v>1500</v>
      </c>
      <c r="K202" s="13"/>
      <c r="L202" s="13">
        <v>123.55</v>
      </c>
      <c r="M202" s="13">
        <v>0</v>
      </c>
      <c r="N202" s="13">
        <v>875</v>
      </c>
      <c r="O202" s="13">
        <v>440.97</v>
      </c>
      <c r="P202" s="13">
        <v>300</v>
      </c>
      <c r="Q202" s="13">
        <f>SUM(R202-P202)</f>
        <v>0</v>
      </c>
      <c r="R202" s="13">
        <v>300</v>
      </c>
      <c r="S202" s="13">
        <f>SUM(T202-R202)</f>
        <v>0</v>
      </c>
      <c r="T202" s="22">
        <v>300</v>
      </c>
    </row>
    <row r="203" spans="1:20" hidden="1">
      <c r="A203" s="16" t="s">
        <v>200</v>
      </c>
      <c r="B203" s="2"/>
      <c r="C203" s="2"/>
      <c r="D203" s="2"/>
      <c r="E203" s="18"/>
      <c r="F203" s="97">
        <v>69</v>
      </c>
      <c r="G203" s="20">
        <f t="shared" si="61"/>
        <v>-69</v>
      </c>
      <c r="H203" s="13">
        <v>0</v>
      </c>
      <c r="I203" s="13"/>
      <c r="J203" s="13">
        <v>0</v>
      </c>
      <c r="K203" s="13"/>
      <c r="L203" s="13">
        <v>19.7</v>
      </c>
      <c r="M203" s="13">
        <v>0</v>
      </c>
      <c r="N203" s="13">
        <v>500</v>
      </c>
      <c r="O203" s="13">
        <v>365.89</v>
      </c>
      <c r="P203" s="13">
        <v>250</v>
      </c>
      <c r="Q203" s="13">
        <f>SUM(R203-P203)</f>
        <v>0</v>
      </c>
      <c r="R203" s="13">
        <v>250</v>
      </c>
      <c r="S203" s="13">
        <f>SUM(T203-R203)</f>
        <v>-50</v>
      </c>
      <c r="T203" s="22">
        <v>200</v>
      </c>
    </row>
    <row r="204" spans="1:20" hidden="1">
      <c r="A204" s="16" t="s">
        <v>201</v>
      </c>
      <c r="B204" s="2"/>
      <c r="C204" s="2"/>
      <c r="D204" s="2"/>
      <c r="E204" s="18"/>
      <c r="F204" s="97">
        <v>1319</v>
      </c>
      <c r="G204" s="20">
        <f t="shared" si="61"/>
        <v>-79</v>
      </c>
      <c r="H204" s="13">
        <v>1240</v>
      </c>
      <c r="I204" s="13">
        <v>1333.35</v>
      </c>
      <c r="J204" s="13">
        <f>SUM(105*12)</f>
        <v>1260</v>
      </c>
      <c r="K204" s="13"/>
      <c r="L204" s="13">
        <v>348.6</v>
      </c>
      <c r="M204" s="13">
        <v>0</v>
      </c>
      <c r="N204" s="13">
        <v>1500</v>
      </c>
      <c r="O204" s="13">
        <v>749.18</v>
      </c>
      <c r="P204" s="13">
        <v>750</v>
      </c>
      <c r="Q204" s="13">
        <f>SUM(R204-P204)</f>
        <v>-750</v>
      </c>
      <c r="R204" s="13">
        <v>0</v>
      </c>
      <c r="S204" s="13">
        <f>SUM(T204-R204)</f>
        <v>0</v>
      </c>
      <c r="T204" s="22">
        <v>0</v>
      </c>
    </row>
    <row r="205" spans="1:20">
      <c r="A205" s="38" t="s">
        <v>202</v>
      </c>
      <c r="B205" s="39"/>
      <c r="C205" s="39"/>
      <c r="D205" s="39"/>
      <c r="E205" s="76"/>
      <c r="F205" s="60"/>
      <c r="G205" s="41"/>
      <c r="H205" s="43"/>
      <c r="I205" s="43"/>
      <c r="J205" s="43"/>
      <c r="K205" s="42">
        <f t="shared" ref="K205:P205" si="62">SUM(K202:K204)</f>
        <v>0</v>
      </c>
      <c r="L205" s="42">
        <f t="shared" si="62"/>
        <v>491.85</v>
      </c>
      <c r="M205" s="42">
        <f t="shared" si="62"/>
        <v>0</v>
      </c>
      <c r="N205" s="42">
        <f t="shared" si="62"/>
        <v>2875</v>
      </c>
      <c r="O205" s="42">
        <f t="shared" si="62"/>
        <v>1556.04</v>
      </c>
      <c r="P205" s="42">
        <f t="shared" si="62"/>
        <v>1300</v>
      </c>
      <c r="Q205" s="43">
        <f>SUM(R205-P205)</f>
        <v>-750</v>
      </c>
      <c r="R205" s="42">
        <f>SUM(R202:R204)</f>
        <v>550</v>
      </c>
      <c r="S205" s="43">
        <f>SUM(T205-R205)</f>
        <v>-50</v>
      </c>
      <c r="T205" s="44">
        <f>SUM(T202:T204)</f>
        <v>500</v>
      </c>
    </row>
    <row r="206" spans="1:20">
      <c r="A206" s="16"/>
      <c r="B206" s="2"/>
      <c r="C206" s="2"/>
      <c r="D206" s="2"/>
      <c r="E206" s="18"/>
      <c r="F206" s="97"/>
      <c r="G206" s="20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22"/>
    </row>
    <row r="207" spans="1:20">
      <c r="A207" s="10" t="s">
        <v>203</v>
      </c>
      <c r="B207" s="17"/>
      <c r="C207" s="17"/>
      <c r="D207" s="17"/>
      <c r="E207" s="18"/>
      <c r="F207" s="19"/>
      <c r="G207" s="20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22"/>
    </row>
    <row r="208" spans="1:20" hidden="1">
      <c r="A208" s="16" t="s">
        <v>204</v>
      </c>
      <c r="B208" s="18">
        <v>27472.98</v>
      </c>
      <c r="C208" s="18">
        <v>19362.8</v>
      </c>
      <c r="D208" s="18"/>
      <c r="E208" s="18">
        <v>27000</v>
      </c>
      <c r="F208" s="23"/>
      <c r="G208" s="20">
        <f t="shared" ref="G208:G229" si="63">SUM(H208-F208)</f>
        <v>0</v>
      </c>
      <c r="H208" s="13"/>
      <c r="I208" s="13"/>
      <c r="J208" s="13"/>
      <c r="K208" s="13"/>
      <c r="L208" s="13"/>
      <c r="M208" s="13"/>
      <c r="N208" s="13"/>
      <c r="O208" s="13">
        <v>35.39</v>
      </c>
      <c r="P208" s="13"/>
      <c r="Q208" s="13"/>
      <c r="R208" s="24"/>
      <c r="S208" s="13"/>
      <c r="T208" s="22"/>
    </row>
    <row r="209" spans="1:20" hidden="1">
      <c r="A209" s="107" t="s">
        <v>205</v>
      </c>
      <c r="B209" s="18"/>
      <c r="C209" s="18"/>
      <c r="D209" s="18">
        <v>17474.439999999999</v>
      </c>
      <c r="E209" s="18"/>
      <c r="F209" s="23">
        <v>13510</v>
      </c>
      <c r="G209" s="20">
        <f t="shared" si="63"/>
        <v>3490</v>
      </c>
      <c r="H209" s="13">
        <v>17000</v>
      </c>
      <c r="I209" s="13">
        <v>18369.12</v>
      </c>
      <c r="J209" s="13">
        <v>15300</v>
      </c>
      <c r="K209" s="13">
        <v>18369.12</v>
      </c>
      <c r="L209" s="13">
        <v>18446.52</v>
      </c>
      <c r="M209" s="13">
        <v>17000</v>
      </c>
      <c r="N209" s="13">
        <v>17000</v>
      </c>
      <c r="O209" s="13">
        <v>13697.9</v>
      </c>
      <c r="P209" s="13">
        <v>17000</v>
      </c>
      <c r="Q209" s="13">
        <f>SUM(R209-P209)</f>
        <v>-2000</v>
      </c>
      <c r="R209" s="24">
        <v>15000</v>
      </c>
      <c r="S209" s="13">
        <f>SUM(T209-R209)</f>
        <v>2500</v>
      </c>
      <c r="T209" s="22">
        <v>17500</v>
      </c>
    </row>
    <row r="210" spans="1:20" hidden="1">
      <c r="A210" s="25" t="s">
        <v>206</v>
      </c>
      <c r="B210" s="18"/>
      <c r="C210" s="18"/>
      <c r="D210" s="18"/>
      <c r="E210" s="18"/>
      <c r="F210" s="23"/>
      <c r="G210" s="20">
        <f t="shared" si="63"/>
        <v>0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>
        <f>SUM(R210-P210)</f>
        <v>0</v>
      </c>
      <c r="R210" s="24"/>
      <c r="S210" s="13">
        <f>SUM(T210-R210)</f>
        <v>0</v>
      </c>
      <c r="T210" s="22"/>
    </row>
    <row r="211" spans="1:20" hidden="1">
      <c r="A211" s="107" t="s">
        <v>207</v>
      </c>
      <c r="B211" s="18">
        <v>1200</v>
      </c>
      <c r="C211" s="18">
        <v>1031.07</v>
      </c>
      <c r="D211" s="18">
        <v>1182.96</v>
      </c>
      <c r="E211" s="18">
        <v>1200</v>
      </c>
      <c r="F211" s="23">
        <v>1558</v>
      </c>
      <c r="G211" s="20">
        <f t="shared" si="63"/>
        <v>-358</v>
      </c>
      <c r="H211" s="13">
        <v>1200</v>
      </c>
      <c r="I211" s="13">
        <v>66.13</v>
      </c>
      <c r="J211" s="13">
        <v>1000</v>
      </c>
      <c r="K211" s="13">
        <v>66.13</v>
      </c>
      <c r="L211" s="13"/>
      <c r="M211" s="13">
        <v>500</v>
      </c>
      <c r="N211" s="13">
        <v>500</v>
      </c>
      <c r="O211" s="13"/>
      <c r="P211" s="13">
        <v>0</v>
      </c>
      <c r="Q211" s="13">
        <f>SUM(R211-P211)</f>
        <v>500</v>
      </c>
      <c r="R211" s="24">
        <v>500</v>
      </c>
      <c r="S211" s="13">
        <f>SUM(T211-R211)</f>
        <v>-500</v>
      </c>
      <c r="T211" s="22"/>
    </row>
    <row r="212" spans="1:20" hidden="1">
      <c r="A212" s="108" t="s">
        <v>208</v>
      </c>
      <c r="B212" s="18"/>
      <c r="C212" s="18"/>
      <c r="D212" s="18">
        <v>1514.4</v>
      </c>
      <c r="E212" s="18"/>
      <c r="F212" s="23"/>
      <c r="G212" s="20">
        <f t="shared" si="63"/>
        <v>0</v>
      </c>
      <c r="H212" s="13">
        <v>0</v>
      </c>
      <c r="I212" s="13"/>
      <c r="J212" s="13">
        <v>0</v>
      </c>
      <c r="K212" s="13"/>
      <c r="L212" s="13"/>
      <c r="M212" s="13"/>
      <c r="N212" s="13"/>
      <c r="O212" s="13"/>
      <c r="P212" s="13"/>
      <c r="Q212" s="13">
        <f>SUM(R212-P212)</f>
        <v>0</v>
      </c>
      <c r="R212" s="24"/>
      <c r="S212" s="13">
        <f>SUM(T212-R212)</f>
        <v>0</v>
      </c>
      <c r="T212" s="22"/>
    </row>
    <row r="213" spans="1:20" hidden="1">
      <c r="A213" s="107" t="s">
        <v>209</v>
      </c>
      <c r="B213" s="18">
        <v>1500</v>
      </c>
      <c r="C213" s="18">
        <v>1318.51</v>
      </c>
      <c r="D213" s="18"/>
      <c r="E213" s="18">
        <v>1500</v>
      </c>
      <c r="F213" s="23">
        <v>2205</v>
      </c>
      <c r="G213" s="20">
        <f t="shared" si="63"/>
        <v>-205</v>
      </c>
      <c r="H213" s="13">
        <v>2000</v>
      </c>
      <c r="I213" s="13">
        <v>81.16</v>
      </c>
      <c r="J213" s="13">
        <v>1000</v>
      </c>
      <c r="K213" s="13">
        <v>81.16</v>
      </c>
      <c r="L213" s="13"/>
      <c r="M213" s="13">
        <v>100</v>
      </c>
      <c r="N213" s="13">
        <v>0</v>
      </c>
      <c r="O213" s="13"/>
      <c r="P213" s="13">
        <v>0</v>
      </c>
      <c r="Q213" s="13">
        <f>SUM(R213-P213)</f>
        <v>0</v>
      </c>
      <c r="R213" s="24">
        <v>0</v>
      </c>
      <c r="S213" s="13">
        <f>SUM(T213-R213)</f>
        <v>0</v>
      </c>
      <c r="T213" s="22">
        <v>0</v>
      </c>
    </row>
    <row r="214" spans="1:20" hidden="1">
      <c r="A214" s="25" t="s">
        <v>210</v>
      </c>
      <c r="B214" s="18">
        <v>11500.79</v>
      </c>
      <c r="C214" s="18">
        <v>12417.77</v>
      </c>
      <c r="D214" s="18">
        <v>17827.310000000001</v>
      </c>
      <c r="E214" s="18">
        <v>11500</v>
      </c>
      <c r="F214" s="23"/>
      <c r="G214" s="20">
        <f t="shared" si="63"/>
        <v>0</v>
      </c>
      <c r="H214" s="13"/>
      <c r="I214" s="13"/>
      <c r="J214" s="13"/>
      <c r="K214" s="13"/>
      <c r="L214" s="13"/>
      <c r="M214" s="13"/>
      <c r="N214" s="13"/>
      <c r="O214" s="13">
        <v>332.01</v>
      </c>
      <c r="P214" s="13"/>
      <c r="Q214" s="13"/>
      <c r="R214" s="24"/>
      <c r="S214" s="13"/>
      <c r="T214" s="22"/>
    </row>
    <row r="215" spans="1:20" hidden="1">
      <c r="A215" s="107" t="s">
        <v>211</v>
      </c>
      <c r="B215" s="18"/>
      <c r="C215" s="18"/>
      <c r="D215" s="18"/>
      <c r="E215" s="18"/>
      <c r="F215" s="23">
        <v>5107</v>
      </c>
      <c r="G215" s="20">
        <f t="shared" si="63"/>
        <v>-107</v>
      </c>
      <c r="H215" s="13">
        <v>5000</v>
      </c>
      <c r="I215" s="13">
        <v>4316.8900000000003</v>
      </c>
      <c r="J215" s="13">
        <v>4500</v>
      </c>
      <c r="K215" s="13">
        <v>4316.8900000000003</v>
      </c>
      <c r="L215" s="13">
        <v>3024.75</v>
      </c>
      <c r="M215" s="13">
        <v>3000</v>
      </c>
      <c r="N215" s="13">
        <v>4000</v>
      </c>
      <c r="O215" s="13">
        <v>1039.3399999999999</v>
      </c>
      <c r="P215" s="13">
        <v>1500</v>
      </c>
      <c r="Q215" s="13">
        <f t="shared" ref="Q215:S231" si="64">SUM(R215-P215)</f>
        <v>2000</v>
      </c>
      <c r="R215" s="24">
        <v>3500</v>
      </c>
      <c r="S215" s="13">
        <f t="shared" si="64"/>
        <v>-500</v>
      </c>
      <c r="T215" s="22">
        <v>3000</v>
      </c>
    </row>
    <row r="216" spans="1:20" hidden="1">
      <c r="A216" s="107" t="s">
        <v>212</v>
      </c>
      <c r="B216" s="18"/>
      <c r="C216" s="18"/>
      <c r="D216" s="18"/>
      <c r="E216" s="18"/>
      <c r="F216" s="23">
        <v>4619</v>
      </c>
      <c r="G216" s="20">
        <f t="shared" si="63"/>
        <v>381</v>
      </c>
      <c r="H216" s="13">
        <v>5000</v>
      </c>
      <c r="I216" s="13">
        <v>3443.81</v>
      </c>
      <c r="J216" s="13">
        <v>4500</v>
      </c>
      <c r="K216" s="13">
        <v>3443.81</v>
      </c>
      <c r="L216" s="13">
        <v>3652.8</v>
      </c>
      <c r="M216" s="13">
        <v>4000</v>
      </c>
      <c r="N216" s="13">
        <v>4000</v>
      </c>
      <c r="O216" s="13">
        <v>1356</v>
      </c>
      <c r="P216" s="13">
        <v>1500</v>
      </c>
      <c r="Q216" s="13">
        <f t="shared" si="64"/>
        <v>2000</v>
      </c>
      <c r="R216" s="24">
        <v>3500</v>
      </c>
      <c r="S216" s="13">
        <f t="shared" si="64"/>
        <v>-500</v>
      </c>
      <c r="T216" s="22">
        <v>3000</v>
      </c>
    </row>
    <row r="217" spans="1:20" hidden="1">
      <c r="A217" s="107" t="s">
        <v>213</v>
      </c>
      <c r="B217" s="18"/>
      <c r="C217" s="18"/>
      <c r="D217" s="18"/>
      <c r="E217" s="18"/>
      <c r="F217" s="23">
        <v>4848</v>
      </c>
      <c r="G217" s="20">
        <f t="shared" si="63"/>
        <v>152</v>
      </c>
      <c r="H217" s="13">
        <v>5000</v>
      </c>
      <c r="I217" s="13">
        <v>3672.37</v>
      </c>
      <c r="J217" s="13">
        <v>4500</v>
      </c>
      <c r="K217" s="13">
        <v>3672.37</v>
      </c>
      <c r="L217" s="13">
        <v>2881.84</v>
      </c>
      <c r="M217" s="13">
        <v>4000</v>
      </c>
      <c r="N217" s="13">
        <v>4000</v>
      </c>
      <c r="O217" s="13">
        <v>263.86</v>
      </c>
      <c r="P217" s="13">
        <v>1000</v>
      </c>
      <c r="Q217" s="13">
        <f t="shared" si="64"/>
        <v>1000</v>
      </c>
      <c r="R217" s="24">
        <v>2000</v>
      </c>
      <c r="S217" s="13">
        <f t="shared" si="64"/>
        <v>-1000</v>
      </c>
      <c r="T217" s="22">
        <v>1000</v>
      </c>
    </row>
    <row r="218" spans="1:20" hidden="1">
      <c r="A218" s="33" t="s">
        <v>214</v>
      </c>
      <c r="B218" s="27">
        <v>0</v>
      </c>
      <c r="C218" s="27">
        <v>77.95</v>
      </c>
      <c r="D218" s="27">
        <v>20</v>
      </c>
      <c r="E218" s="27">
        <v>200</v>
      </c>
      <c r="F218" s="28"/>
      <c r="G218" s="29">
        <f t="shared" si="63"/>
        <v>0</v>
      </c>
      <c r="H218" s="30">
        <v>0</v>
      </c>
      <c r="I218" s="30">
        <v>21</v>
      </c>
      <c r="J218" s="30">
        <v>0</v>
      </c>
      <c r="K218" s="30">
        <v>21</v>
      </c>
      <c r="L218" s="30"/>
      <c r="M218" s="30"/>
      <c r="N218" s="30">
        <v>0</v>
      </c>
      <c r="O218" s="30"/>
      <c r="P218" s="30">
        <v>0</v>
      </c>
      <c r="Q218" s="30">
        <f t="shared" si="64"/>
        <v>0</v>
      </c>
      <c r="R218" s="31">
        <v>0</v>
      </c>
      <c r="S218" s="30">
        <f t="shared" si="64"/>
        <v>0</v>
      </c>
      <c r="T218" s="32">
        <v>0</v>
      </c>
    </row>
    <row r="219" spans="1:20" hidden="1">
      <c r="A219" s="25" t="s">
        <v>215</v>
      </c>
      <c r="B219" s="109"/>
      <c r="C219" s="109"/>
      <c r="D219" s="109"/>
      <c r="E219" s="109"/>
      <c r="F219" s="23"/>
      <c r="G219" s="20">
        <f t="shared" si="63"/>
        <v>0</v>
      </c>
      <c r="H219" s="13"/>
      <c r="I219" s="13"/>
      <c r="J219" s="13"/>
      <c r="K219" s="13"/>
      <c r="L219" s="13"/>
      <c r="M219" s="13"/>
      <c r="N219" s="13"/>
      <c r="O219" s="13"/>
      <c r="P219" s="13"/>
      <c r="Q219" s="13">
        <f t="shared" si="64"/>
        <v>0</v>
      </c>
      <c r="R219" s="24"/>
      <c r="S219" s="13">
        <f t="shared" si="64"/>
        <v>0</v>
      </c>
      <c r="T219" s="22"/>
    </row>
    <row r="220" spans="1:20" hidden="1">
      <c r="A220" s="107" t="s">
        <v>216</v>
      </c>
      <c r="B220" s="109">
        <v>11641.5</v>
      </c>
      <c r="C220" s="109">
        <v>10424.1</v>
      </c>
      <c r="D220" s="109">
        <v>10902.83</v>
      </c>
      <c r="E220" s="109">
        <v>12000</v>
      </c>
      <c r="F220" s="23">
        <v>8463</v>
      </c>
      <c r="G220" s="20">
        <f t="shared" si="63"/>
        <v>3537</v>
      </c>
      <c r="H220" s="13">
        <v>12000</v>
      </c>
      <c r="I220" s="13">
        <v>9138.84</v>
      </c>
      <c r="J220" s="13">
        <v>9000</v>
      </c>
      <c r="K220" s="13">
        <v>9138.84</v>
      </c>
      <c r="L220" s="13">
        <v>9027.0499999999993</v>
      </c>
      <c r="M220" s="13">
        <v>9000</v>
      </c>
      <c r="N220" s="13">
        <v>4000</v>
      </c>
      <c r="O220" s="13">
        <v>2569.98</v>
      </c>
      <c r="P220" s="13">
        <v>4000</v>
      </c>
      <c r="Q220" s="13">
        <f t="shared" si="64"/>
        <v>-500</v>
      </c>
      <c r="R220" s="24">
        <v>3500</v>
      </c>
      <c r="S220" s="13">
        <f t="shared" si="64"/>
        <v>-500</v>
      </c>
      <c r="T220" s="22">
        <v>3000</v>
      </c>
    </row>
    <row r="221" spans="1:20" hidden="1">
      <c r="A221" s="107" t="s">
        <v>217</v>
      </c>
      <c r="B221" s="109">
        <v>2075.5100000000002</v>
      </c>
      <c r="C221" s="109">
        <v>1239.05</v>
      </c>
      <c r="D221" s="109">
        <v>1236.6500000000001</v>
      </c>
      <c r="E221" s="109">
        <v>2000</v>
      </c>
      <c r="F221" s="23">
        <v>66</v>
      </c>
      <c r="G221" s="20">
        <f t="shared" si="63"/>
        <v>934</v>
      </c>
      <c r="H221" s="13">
        <v>1000</v>
      </c>
      <c r="I221" s="13">
        <v>0</v>
      </c>
      <c r="J221" s="13">
        <v>1000</v>
      </c>
      <c r="K221" s="13"/>
      <c r="L221" s="13">
        <v>19.96</v>
      </c>
      <c r="M221" s="13">
        <v>100</v>
      </c>
      <c r="N221" s="13">
        <v>500</v>
      </c>
      <c r="O221" s="13"/>
      <c r="P221" s="13">
        <v>500</v>
      </c>
      <c r="Q221" s="13">
        <f t="shared" si="64"/>
        <v>0</v>
      </c>
      <c r="R221" s="24">
        <v>500</v>
      </c>
      <c r="S221" s="13">
        <f t="shared" si="64"/>
        <v>-500</v>
      </c>
      <c r="T221" s="22"/>
    </row>
    <row r="222" spans="1:20" hidden="1">
      <c r="A222" s="107" t="s">
        <v>218</v>
      </c>
      <c r="B222" s="109">
        <v>1700</v>
      </c>
      <c r="C222" s="109">
        <v>1727.5</v>
      </c>
      <c r="D222" s="109">
        <v>2258.61</v>
      </c>
      <c r="E222" s="109">
        <v>1700</v>
      </c>
      <c r="F222" s="23"/>
      <c r="G222" s="20">
        <f t="shared" si="63"/>
        <v>0</v>
      </c>
      <c r="H222" s="13">
        <v>0</v>
      </c>
      <c r="I222" s="13"/>
      <c r="J222" s="13">
        <v>0</v>
      </c>
      <c r="K222" s="13"/>
      <c r="L222" s="13"/>
      <c r="M222" s="13"/>
      <c r="N222" s="13">
        <v>1000</v>
      </c>
      <c r="O222" s="13">
        <v>583.63</v>
      </c>
      <c r="P222" s="13">
        <v>1000</v>
      </c>
      <c r="Q222" s="13">
        <f t="shared" si="64"/>
        <v>-250</v>
      </c>
      <c r="R222" s="24">
        <v>750</v>
      </c>
      <c r="S222" s="13">
        <f t="shared" si="64"/>
        <v>0</v>
      </c>
      <c r="T222" s="22">
        <v>750</v>
      </c>
    </row>
    <row r="223" spans="1:20" hidden="1">
      <c r="A223" s="107" t="s">
        <v>219</v>
      </c>
      <c r="B223" s="109"/>
      <c r="C223" s="109"/>
      <c r="D223" s="109"/>
      <c r="E223" s="109"/>
      <c r="F223" s="23">
        <v>1163</v>
      </c>
      <c r="G223" s="20">
        <f t="shared" si="63"/>
        <v>87</v>
      </c>
      <c r="H223" s="13">
        <v>1250</v>
      </c>
      <c r="I223" s="13">
        <v>1361.47</v>
      </c>
      <c r="J223" s="13">
        <v>1250</v>
      </c>
      <c r="K223" s="13">
        <v>1361.47</v>
      </c>
      <c r="L223" s="13">
        <v>303.45999999999998</v>
      </c>
      <c r="M223" s="13">
        <v>750</v>
      </c>
      <c r="N223" s="13">
        <v>0</v>
      </c>
      <c r="O223" s="13">
        <v>87.28</v>
      </c>
      <c r="P223" s="13">
        <v>0</v>
      </c>
      <c r="Q223" s="13">
        <f t="shared" si="64"/>
        <v>0</v>
      </c>
      <c r="R223" s="24">
        <v>0</v>
      </c>
      <c r="S223" s="13">
        <f t="shared" si="64"/>
        <v>0</v>
      </c>
      <c r="T223" s="22">
        <v>0</v>
      </c>
    </row>
    <row r="224" spans="1:20" hidden="1">
      <c r="A224" s="108" t="s">
        <v>220</v>
      </c>
      <c r="B224" s="110"/>
      <c r="C224" s="110"/>
      <c r="D224" s="110"/>
      <c r="E224" s="110"/>
      <c r="F224" s="28">
        <v>1538</v>
      </c>
      <c r="G224" s="29">
        <f t="shared" si="63"/>
        <v>-288</v>
      </c>
      <c r="H224" s="30">
        <v>1250</v>
      </c>
      <c r="I224" s="30">
        <v>1006.18</v>
      </c>
      <c r="J224" s="30">
        <v>1250</v>
      </c>
      <c r="K224" s="30">
        <v>1006.18</v>
      </c>
      <c r="L224" s="30">
        <v>86.73</v>
      </c>
      <c r="M224" s="30">
        <v>750</v>
      </c>
      <c r="N224" s="30">
        <v>0</v>
      </c>
      <c r="O224" s="30"/>
      <c r="P224" s="30">
        <v>0</v>
      </c>
      <c r="Q224" s="30">
        <f t="shared" si="64"/>
        <v>0</v>
      </c>
      <c r="R224" s="30">
        <v>0</v>
      </c>
      <c r="S224" s="30">
        <f t="shared" si="64"/>
        <v>0</v>
      </c>
      <c r="T224" s="32">
        <v>0</v>
      </c>
    </row>
    <row r="225" spans="1:20" hidden="1">
      <c r="A225" s="107" t="s">
        <v>221</v>
      </c>
      <c r="B225" s="109"/>
      <c r="C225" s="109"/>
      <c r="D225" s="109"/>
      <c r="E225" s="109"/>
      <c r="F225" s="23">
        <v>420</v>
      </c>
      <c r="G225" s="20">
        <f t="shared" si="63"/>
        <v>80</v>
      </c>
      <c r="H225" s="13">
        <v>500</v>
      </c>
      <c r="I225" s="13">
        <v>509.82</v>
      </c>
      <c r="J225" s="13">
        <v>500</v>
      </c>
      <c r="K225" s="13">
        <v>509.82</v>
      </c>
      <c r="L225" s="13">
        <v>475.25</v>
      </c>
      <c r="M225" s="13">
        <v>500</v>
      </c>
      <c r="N225" s="13">
        <v>500</v>
      </c>
      <c r="O225" s="13">
        <v>39</v>
      </c>
      <c r="P225" s="13">
        <v>0</v>
      </c>
      <c r="Q225" s="13">
        <f t="shared" si="64"/>
        <v>0</v>
      </c>
      <c r="R225" s="13">
        <v>0</v>
      </c>
      <c r="S225" s="13">
        <f t="shared" si="64"/>
        <v>0</v>
      </c>
      <c r="T225" s="22">
        <v>0</v>
      </c>
    </row>
    <row r="226" spans="1:20" hidden="1">
      <c r="A226" s="25" t="s">
        <v>222</v>
      </c>
      <c r="B226" s="18"/>
      <c r="C226" s="18"/>
      <c r="D226" s="18"/>
      <c r="E226" s="18"/>
      <c r="F226" s="23"/>
      <c r="G226" s="20">
        <f t="shared" si="63"/>
        <v>0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>
        <f t="shared" si="64"/>
        <v>0</v>
      </c>
      <c r="R226" s="13"/>
      <c r="S226" s="13">
        <f t="shared" si="64"/>
        <v>0</v>
      </c>
      <c r="T226" s="22"/>
    </row>
    <row r="227" spans="1:20" hidden="1">
      <c r="A227" s="107" t="s">
        <v>223</v>
      </c>
      <c r="B227" s="109">
        <v>1661.49</v>
      </c>
      <c r="C227" s="109">
        <v>1905.46</v>
      </c>
      <c r="D227" s="109">
        <v>1451.32</v>
      </c>
      <c r="E227" s="109">
        <v>2000</v>
      </c>
      <c r="F227" s="23">
        <v>1184</v>
      </c>
      <c r="G227" s="20">
        <f t="shared" si="63"/>
        <v>-184</v>
      </c>
      <c r="H227" s="13">
        <v>1000</v>
      </c>
      <c r="I227" s="13">
        <v>763.99</v>
      </c>
      <c r="J227" s="13">
        <v>1000</v>
      </c>
      <c r="K227" s="13">
        <v>763.99</v>
      </c>
      <c r="L227" s="13">
        <v>1129.3900000000001</v>
      </c>
      <c r="M227" s="13">
        <v>1000</v>
      </c>
      <c r="N227" s="13">
        <v>1500</v>
      </c>
      <c r="O227" s="13">
        <v>579.59</v>
      </c>
      <c r="P227" s="13">
        <v>1500</v>
      </c>
      <c r="Q227" s="13">
        <f t="shared" si="64"/>
        <v>-300</v>
      </c>
      <c r="R227" s="24">
        <v>1200</v>
      </c>
      <c r="S227" s="13">
        <f t="shared" si="64"/>
        <v>-800</v>
      </c>
      <c r="T227" s="22">
        <v>400</v>
      </c>
    </row>
    <row r="228" spans="1:20" hidden="1">
      <c r="A228" s="107" t="s">
        <v>224</v>
      </c>
      <c r="B228" s="109">
        <v>300</v>
      </c>
      <c r="C228" s="109">
        <v>291.89</v>
      </c>
      <c r="D228" s="109"/>
      <c r="E228" s="109">
        <v>300</v>
      </c>
      <c r="F228" s="23"/>
      <c r="G228" s="20">
        <f t="shared" si="63"/>
        <v>100</v>
      </c>
      <c r="H228" s="13">
        <v>100</v>
      </c>
      <c r="I228" s="13"/>
      <c r="J228" s="13">
        <v>0</v>
      </c>
      <c r="K228" s="13"/>
      <c r="L228" s="13"/>
      <c r="M228" s="13"/>
      <c r="N228" s="13"/>
      <c r="O228" s="13"/>
      <c r="P228" s="13"/>
      <c r="Q228" s="13">
        <f t="shared" si="64"/>
        <v>0</v>
      </c>
      <c r="R228" s="13"/>
      <c r="S228" s="13">
        <f t="shared" si="64"/>
        <v>0</v>
      </c>
      <c r="T228" s="22"/>
    </row>
    <row r="229" spans="1:20" hidden="1">
      <c r="A229" s="107" t="s">
        <v>225</v>
      </c>
      <c r="B229" s="111"/>
      <c r="C229" s="111"/>
      <c r="D229" s="111"/>
      <c r="E229" s="111"/>
      <c r="F229" s="112"/>
      <c r="G229" s="20">
        <f t="shared" si="63"/>
        <v>0</v>
      </c>
      <c r="H229" s="113">
        <v>0</v>
      </c>
      <c r="I229" s="113"/>
      <c r="J229" s="113">
        <v>0</v>
      </c>
      <c r="K229" s="113"/>
      <c r="L229" s="13">
        <v>1718</v>
      </c>
      <c r="M229" s="113"/>
      <c r="N229" s="113">
        <v>0</v>
      </c>
      <c r="O229" s="113"/>
      <c r="P229" s="113">
        <v>0</v>
      </c>
      <c r="Q229" s="13">
        <f t="shared" si="64"/>
        <v>0</v>
      </c>
      <c r="R229" s="113">
        <v>0</v>
      </c>
      <c r="S229" s="13">
        <f t="shared" si="64"/>
        <v>1383</v>
      </c>
      <c r="T229" s="114">
        <v>1383</v>
      </c>
    </row>
    <row r="230" spans="1:20" hidden="1">
      <c r="A230" s="16" t="s">
        <v>226</v>
      </c>
      <c r="B230" s="18">
        <v>1843.05</v>
      </c>
      <c r="C230" s="18">
        <v>3676.05</v>
      </c>
      <c r="D230" s="18">
        <v>4621.05</v>
      </c>
      <c r="E230" s="18">
        <v>3500</v>
      </c>
      <c r="F230" s="23">
        <v>1328</v>
      </c>
      <c r="G230" s="20">
        <f>SUM(H230-F230)</f>
        <v>3172</v>
      </c>
      <c r="H230" s="13">
        <v>4500</v>
      </c>
      <c r="I230" s="13">
        <v>7416.72</v>
      </c>
      <c r="J230" s="13">
        <v>9000</v>
      </c>
      <c r="K230" s="13">
        <v>7416.72</v>
      </c>
      <c r="L230" s="13">
        <v>6137.3</v>
      </c>
      <c r="M230" s="13">
        <v>6000</v>
      </c>
      <c r="N230" s="13">
        <v>7500</v>
      </c>
      <c r="O230" s="13">
        <v>3675</v>
      </c>
      <c r="P230" s="13">
        <v>3000</v>
      </c>
      <c r="Q230" s="13">
        <f>SUM(R230-P230)</f>
        <v>5500</v>
      </c>
      <c r="R230" s="24">
        <v>8500</v>
      </c>
      <c r="S230" s="13">
        <f>SUM(T230-R230)</f>
        <v>0</v>
      </c>
      <c r="T230" s="22">
        <v>8500</v>
      </c>
    </row>
    <row r="231" spans="1:20" hidden="1">
      <c r="A231" s="25" t="s">
        <v>227</v>
      </c>
      <c r="B231" s="111"/>
      <c r="C231" s="111"/>
      <c r="D231" s="111"/>
      <c r="E231" s="111"/>
      <c r="F231" s="112"/>
      <c r="G231" s="20"/>
      <c r="H231" s="113"/>
      <c r="I231" s="113"/>
      <c r="J231" s="113"/>
      <c r="K231" s="113"/>
      <c r="L231" s="13">
        <v>7179.1</v>
      </c>
      <c r="M231" s="113"/>
      <c r="N231" s="13">
        <v>5000</v>
      </c>
      <c r="O231" s="13">
        <v>4859.9399999999996</v>
      </c>
      <c r="P231" s="13">
        <v>5000</v>
      </c>
      <c r="Q231" s="13">
        <f t="shared" si="64"/>
        <v>-5000</v>
      </c>
      <c r="R231" s="13">
        <v>0</v>
      </c>
      <c r="S231" s="13">
        <f t="shared" si="64"/>
        <v>0</v>
      </c>
      <c r="T231" s="22">
        <v>0</v>
      </c>
    </row>
    <row r="232" spans="1:20" hidden="1">
      <c r="A232" s="16" t="s">
        <v>228</v>
      </c>
      <c r="B232" s="18"/>
      <c r="C232" s="18"/>
      <c r="D232" s="18"/>
      <c r="E232" s="18"/>
      <c r="F232" s="23"/>
      <c r="G232" s="20">
        <f t="shared" ref="G232:G236" si="65">SUM(H232-F232)</f>
        <v>0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22"/>
    </row>
    <row r="233" spans="1:20" hidden="1">
      <c r="A233" s="107" t="s">
        <v>229</v>
      </c>
      <c r="B233" s="18"/>
      <c r="C233" s="18"/>
      <c r="D233" s="18"/>
      <c r="E233" s="18"/>
      <c r="F233" s="23">
        <v>314</v>
      </c>
      <c r="G233" s="20">
        <f t="shared" si="65"/>
        <v>686</v>
      </c>
      <c r="H233" s="13">
        <v>1000</v>
      </c>
      <c r="I233" s="13">
        <v>1392.98</v>
      </c>
      <c r="J233" s="13">
        <v>0</v>
      </c>
      <c r="K233" s="13">
        <v>1392.98</v>
      </c>
      <c r="L233" s="13">
        <v>2640</v>
      </c>
      <c r="M233" s="13">
        <v>2750</v>
      </c>
      <c r="N233" s="13">
        <v>4200</v>
      </c>
      <c r="O233" s="13">
        <v>3570</v>
      </c>
      <c r="P233" s="13">
        <v>3500</v>
      </c>
      <c r="Q233" s="13">
        <f>SUM(R233-P233)</f>
        <v>1500</v>
      </c>
      <c r="R233" s="13">
        <v>5000</v>
      </c>
      <c r="S233" s="13">
        <f>SUM(T233-R233)</f>
        <v>-5000</v>
      </c>
      <c r="T233" s="22">
        <v>0</v>
      </c>
    </row>
    <row r="234" spans="1:20" hidden="1">
      <c r="A234" s="107" t="s">
        <v>230</v>
      </c>
      <c r="B234" s="18"/>
      <c r="C234" s="18"/>
      <c r="D234" s="18"/>
      <c r="E234" s="18"/>
      <c r="F234" s="23">
        <v>981</v>
      </c>
      <c r="G234" s="20">
        <f t="shared" si="65"/>
        <v>19</v>
      </c>
      <c r="H234" s="13">
        <v>1000</v>
      </c>
      <c r="I234" s="13">
        <v>506.34</v>
      </c>
      <c r="J234" s="13">
        <v>500</v>
      </c>
      <c r="K234" s="13">
        <v>506.34</v>
      </c>
      <c r="L234" s="13">
        <v>213.35</v>
      </c>
      <c r="M234" s="13">
        <v>250</v>
      </c>
      <c r="N234" s="13">
        <v>250</v>
      </c>
      <c r="O234" s="13"/>
      <c r="P234" s="13">
        <v>0</v>
      </c>
      <c r="Q234" s="13">
        <f>SUM(R234-P234)</f>
        <v>250</v>
      </c>
      <c r="R234" s="13">
        <v>250</v>
      </c>
      <c r="S234" s="13">
        <f>SUM(T234-R234)</f>
        <v>-250</v>
      </c>
      <c r="T234" s="22">
        <v>0</v>
      </c>
    </row>
    <row r="235" spans="1:20" hidden="1">
      <c r="A235" s="16" t="s">
        <v>231</v>
      </c>
      <c r="B235" s="18">
        <v>13416</v>
      </c>
      <c r="C235" s="18">
        <v>13822</v>
      </c>
      <c r="D235" s="18">
        <v>16703</v>
      </c>
      <c r="E235" s="18">
        <v>16500</v>
      </c>
      <c r="F235" s="23">
        <v>22092</v>
      </c>
      <c r="G235" s="20">
        <f t="shared" si="65"/>
        <v>2908</v>
      </c>
      <c r="H235" s="13">
        <v>25000</v>
      </c>
      <c r="I235" s="13">
        <v>21715</v>
      </c>
      <c r="J235" s="13">
        <v>22000</v>
      </c>
      <c r="K235" s="13">
        <v>21715</v>
      </c>
      <c r="L235" s="13">
        <v>23838</v>
      </c>
      <c r="M235" s="13">
        <v>23500</v>
      </c>
      <c r="N235" s="13">
        <v>25000</v>
      </c>
      <c r="O235" s="13">
        <v>25570</v>
      </c>
      <c r="P235" s="13">
        <v>25700</v>
      </c>
      <c r="Q235" s="13">
        <f>SUM(R235-P235)</f>
        <v>-25700</v>
      </c>
      <c r="R235" s="13">
        <v>0</v>
      </c>
      <c r="S235" s="13">
        <f>SUM(T235-R235)</f>
        <v>0</v>
      </c>
      <c r="T235" s="22">
        <v>0</v>
      </c>
    </row>
    <row r="236" spans="1:20">
      <c r="A236" s="38" t="s">
        <v>232</v>
      </c>
      <c r="B236" s="39">
        <f>SUM(B208:B235)</f>
        <v>74311.320000000007</v>
      </c>
      <c r="C236" s="39">
        <f>SUM(C208:C235)</f>
        <v>67294.149999999994</v>
      </c>
      <c r="D236" s="39">
        <f>SUM(D208:D235)</f>
        <v>75192.570000000007</v>
      </c>
      <c r="E236" s="39">
        <f>SUM(E208:E235)</f>
        <v>79400</v>
      </c>
      <c r="F236" s="42">
        <f>SUM(F208:F235)</f>
        <v>69396</v>
      </c>
      <c r="G236" s="20">
        <f t="shared" si="65"/>
        <v>14404</v>
      </c>
      <c r="H236" s="42">
        <f t="shared" ref="H236:P236" si="66">SUM(H208:H235)</f>
        <v>83800</v>
      </c>
      <c r="I236" s="42">
        <f t="shared" si="66"/>
        <v>73781.820000000007</v>
      </c>
      <c r="J236" s="42">
        <f t="shared" si="66"/>
        <v>76300</v>
      </c>
      <c r="K236" s="42">
        <f t="shared" si="66"/>
        <v>73781.820000000007</v>
      </c>
      <c r="L236" s="42">
        <f t="shared" si="66"/>
        <v>80773.5</v>
      </c>
      <c r="M236" s="42">
        <f t="shared" si="66"/>
        <v>73200</v>
      </c>
      <c r="N236" s="42">
        <f t="shared" si="66"/>
        <v>78950</v>
      </c>
      <c r="O236" s="42">
        <f t="shared" si="66"/>
        <v>58258.92</v>
      </c>
      <c r="P236" s="42">
        <f t="shared" si="66"/>
        <v>65200</v>
      </c>
      <c r="Q236" s="43">
        <f>SUM(R236-P236)</f>
        <v>-21000</v>
      </c>
      <c r="R236" s="42">
        <f>SUM(R208:R235)</f>
        <v>44200</v>
      </c>
      <c r="S236" s="43">
        <f>SUM(T236-R236)</f>
        <v>-5667</v>
      </c>
      <c r="T236" s="44">
        <f>SUM(T208:T235)</f>
        <v>38533</v>
      </c>
    </row>
    <row r="237" spans="1:20">
      <c r="A237" s="16"/>
      <c r="B237" s="17"/>
      <c r="C237" s="17"/>
      <c r="D237" s="17"/>
      <c r="E237" s="18"/>
      <c r="F237" s="19"/>
      <c r="G237" s="20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22"/>
    </row>
    <row r="238" spans="1:20">
      <c r="A238" s="10" t="s">
        <v>233</v>
      </c>
      <c r="B238" s="17"/>
      <c r="C238" s="17"/>
      <c r="D238" s="17"/>
      <c r="E238" s="18"/>
      <c r="F238" s="19"/>
      <c r="G238" s="20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22"/>
    </row>
    <row r="239" spans="1:20" hidden="1">
      <c r="A239" s="16" t="s">
        <v>234</v>
      </c>
      <c r="B239" s="18"/>
      <c r="C239" s="18"/>
      <c r="D239" s="18">
        <v>1636.41</v>
      </c>
      <c r="E239" s="18">
        <v>0</v>
      </c>
      <c r="F239" s="23">
        <v>3185</v>
      </c>
      <c r="G239" s="20">
        <f t="shared" ref="G239:G250" si="67">SUM(H239-F239)</f>
        <v>1815</v>
      </c>
      <c r="H239" s="13">
        <v>5000</v>
      </c>
      <c r="I239" s="13">
        <v>1716.12</v>
      </c>
      <c r="J239" s="13">
        <v>3000</v>
      </c>
      <c r="K239" s="13">
        <v>1716.12</v>
      </c>
      <c r="L239" s="13">
        <v>309.17</v>
      </c>
      <c r="M239" s="13">
        <v>500</v>
      </c>
      <c r="N239" s="13">
        <v>5000</v>
      </c>
      <c r="O239" s="13">
        <v>241.79</v>
      </c>
      <c r="P239" s="13">
        <v>1500</v>
      </c>
      <c r="Q239" s="13">
        <f t="shared" ref="Q239:S252" si="68">SUM(R239-P239)</f>
        <v>-1000</v>
      </c>
      <c r="R239" s="13">
        <v>500</v>
      </c>
      <c r="S239" s="13">
        <f t="shared" si="68"/>
        <v>0</v>
      </c>
      <c r="T239" s="22">
        <v>500</v>
      </c>
    </row>
    <row r="240" spans="1:20" hidden="1">
      <c r="A240" s="16" t="s">
        <v>235</v>
      </c>
      <c r="B240" s="18"/>
      <c r="C240" s="18"/>
      <c r="D240" s="18">
        <v>2286.2800000000002</v>
      </c>
      <c r="E240" s="18">
        <v>0</v>
      </c>
      <c r="F240" s="23">
        <v>2175</v>
      </c>
      <c r="G240" s="20">
        <f t="shared" si="67"/>
        <v>325</v>
      </c>
      <c r="H240" s="13">
        <v>2500</v>
      </c>
      <c r="I240" s="13">
        <v>2130.0700000000002</v>
      </c>
      <c r="J240" s="13">
        <v>3000</v>
      </c>
      <c r="K240" s="13">
        <v>2130.0700000000002</v>
      </c>
      <c r="L240" s="13">
        <v>961.81</v>
      </c>
      <c r="M240" s="13">
        <v>4000</v>
      </c>
      <c r="N240" s="13">
        <v>2000</v>
      </c>
      <c r="O240" s="13">
        <v>415.97</v>
      </c>
      <c r="P240" s="13">
        <v>1000</v>
      </c>
      <c r="Q240" s="13">
        <f t="shared" si="68"/>
        <v>1000</v>
      </c>
      <c r="R240" s="13">
        <v>2000</v>
      </c>
      <c r="S240" s="13">
        <f t="shared" si="68"/>
        <v>0</v>
      </c>
      <c r="T240" s="22">
        <v>2000</v>
      </c>
    </row>
    <row r="241" spans="1:20" hidden="1">
      <c r="A241" s="16" t="s">
        <v>236</v>
      </c>
      <c r="B241" s="18"/>
      <c r="C241" s="18"/>
      <c r="D241" s="18"/>
      <c r="E241" s="18"/>
      <c r="F241" s="23">
        <v>40</v>
      </c>
      <c r="G241" s="20">
        <f t="shared" si="67"/>
        <v>-40</v>
      </c>
      <c r="H241" s="13"/>
      <c r="I241" s="13"/>
      <c r="J241" s="13"/>
      <c r="K241" s="13"/>
      <c r="L241" s="13"/>
      <c r="M241" s="13"/>
      <c r="N241" s="13">
        <v>4500</v>
      </c>
      <c r="O241" s="13">
        <v>3229.81</v>
      </c>
      <c r="P241" s="13">
        <v>3500</v>
      </c>
      <c r="Q241" s="13">
        <f t="shared" si="68"/>
        <v>0</v>
      </c>
      <c r="R241" s="24">
        <v>3500</v>
      </c>
      <c r="S241" s="13">
        <f t="shared" si="68"/>
        <v>-500</v>
      </c>
      <c r="T241" s="22">
        <v>3000</v>
      </c>
    </row>
    <row r="242" spans="1:20" hidden="1">
      <c r="A242" s="107" t="s">
        <v>237</v>
      </c>
      <c r="B242" s="18"/>
      <c r="C242" s="18"/>
      <c r="D242" s="18"/>
      <c r="E242" s="18">
        <v>0</v>
      </c>
      <c r="F242" s="23">
        <v>1928</v>
      </c>
      <c r="G242" s="20">
        <f t="shared" si="67"/>
        <v>-478</v>
      </c>
      <c r="H242" s="13">
        <v>1450</v>
      </c>
      <c r="I242" s="13">
        <v>1373.76</v>
      </c>
      <c r="J242" s="13">
        <v>1500</v>
      </c>
      <c r="K242" s="13">
        <v>1373.76</v>
      </c>
      <c r="L242" s="13">
        <v>2922.57</v>
      </c>
      <c r="M242" s="13">
        <v>3500</v>
      </c>
      <c r="N242" s="13"/>
      <c r="O242" s="13">
        <v>154.84</v>
      </c>
      <c r="P242" s="13"/>
      <c r="Q242" s="13">
        <f t="shared" si="68"/>
        <v>0</v>
      </c>
      <c r="R242" s="24"/>
      <c r="S242" s="13">
        <f t="shared" si="68"/>
        <v>0</v>
      </c>
      <c r="T242" s="22"/>
    </row>
    <row r="243" spans="1:20" hidden="1">
      <c r="A243" s="107" t="s">
        <v>238</v>
      </c>
      <c r="B243" s="18"/>
      <c r="C243" s="18"/>
      <c r="D243" s="18"/>
      <c r="E243" s="18">
        <v>0</v>
      </c>
      <c r="F243" s="23">
        <v>846</v>
      </c>
      <c r="G243" s="20">
        <f t="shared" si="67"/>
        <v>-46</v>
      </c>
      <c r="H243" s="13">
        <v>800</v>
      </c>
      <c r="I243" s="13">
        <v>1402.98</v>
      </c>
      <c r="J243" s="13">
        <v>1500</v>
      </c>
      <c r="K243" s="13">
        <v>1402.98</v>
      </c>
      <c r="L243" s="13">
        <v>1126.05</v>
      </c>
      <c r="M243" s="13">
        <v>2000</v>
      </c>
      <c r="N243" s="13"/>
      <c r="O243" s="13">
        <v>79.989999999999995</v>
      </c>
      <c r="P243" s="13"/>
      <c r="Q243" s="13">
        <f t="shared" si="68"/>
        <v>0</v>
      </c>
      <c r="R243" s="24"/>
      <c r="S243" s="13">
        <f t="shared" si="68"/>
        <v>0</v>
      </c>
      <c r="T243" s="22"/>
    </row>
    <row r="244" spans="1:20" hidden="1">
      <c r="A244" s="25" t="s">
        <v>239</v>
      </c>
      <c r="B244" s="18"/>
      <c r="C244" s="18"/>
      <c r="D244" s="18"/>
      <c r="E244" s="18"/>
      <c r="F244" s="23"/>
      <c r="G244" s="20">
        <f t="shared" si="67"/>
        <v>0</v>
      </c>
      <c r="H244" s="13"/>
      <c r="I244" s="13">
        <v>25</v>
      </c>
      <c r="J244" s="13"/>
      <c r="K244" s="13">
        <v>25</v>
      </c>
      <c r="L244" s="13">
        <v>752.64</v>
      </c>
      <c r="M244" s="13">
        <v>0</v>
      </c>
      <c r="N244" s="13">
        <v>2500</v>
      </c>
      <c r="O244" s="13">
        <v>1055.81</v>
      </c>
      <c r="P244" s="13">
        <v>1000</v>
      </c>
      <c r="Q244" s="13">
        <f t="shared" si="68"/>
        <v>1000</v>
      </c>
      <c r="R244" s="24">
        <v>2000</v>
      </c>
      <c r="S244" s="13">
        <f t="shared" si="68"/>
        <v>-1000</v>
      </c>
      <c r="T244" s="22">
        <v>1000</v>
      </c>
    </row>
    <row r="245" spans="1:20" hidden="1">
      <c r="A245" s="26" t="s">
        <v>240</v>
      </c>
      <c r="B245" s="18"/>
      <c r="C245" s="18"/>
      <c r="D245" s="18"/>
      <c r="E245" s="18">
        <v>0</v>
      </c>
      <c r="F245" s="23">
        <v>682</v>
      </c>
      <c r="G245" s="20">
        <f t="shared" si="67"/>
        <v>-682</v>
      </c>
      <c r="H245" s="13">
        <v>0</v>
      </c>
      <c r="I245" s="13"/>
      <c r="J245" s="13">
        <v>0</v>
      </c>
      <c r="K245" s="13"/>
      <c r="L245" s="13"/>
      <c r="M245" s="13">
        <v>0</v>
      </c>
      <c r="N245" s="13">
        <v>0</v>
      </c>
      <c r="O245" s="13"/>
      <c r="P245" s="13">
        <v>0</v>
      </c>
      <c r="Q245" s="13">
        <f t="shared" si="68"/>
        <v>0</v>
      </c>
      <c r="R245" s="24">
        <v>0</v>
      </c>
      <c r="S245" s="13">
        <f t="shared" si="68"/>
        <v>0</v>
      </c>
      <c r="T245" s="22">
        <v>0</v>
      </c>
    </row>
    <row r="246" spans="1:20" hidden="1">
      <c r="A246" s="26" t="s">
        <v>241</v>
      </c>
      <c r="B246" s="18"/>
      <c r="C246" s="18"/>
      <c r="D246" s="18"/>
      <c r="E246" s="18">
        <v>0</v>
      </c>
      <c r="F246" s="23">
        <v>211</v>
      </c>
      <c r="G246" s="20">
        <f t="shared" si="67"/>
        <v>589</v>
      </c>
      <c r="H246" s="13">
        <v>800</v>
      </c>
      <c r="I246" s="13"/>
      <c r="J246" s="13">
        <v>0</v>
      </c>
      <c r="K246" s="13"/>
      <c r="L246" s="13"/>
      <c r="M246" s="13">
        <v>0</v>
      </c>
      <c r="N246" s="18">
        <v>0</v>
      </c>
      <c r="O246" s="18"/>
      <c r="P246" s="18">
        <v>0</v>
      </c>
      <c r="Q246" s="13">
        <f t="shared" si="68"/>
        <v>0</v>
      </c>
      <c r="R246" s="52">
        <v>0</v>
      </c>
      <c r="S246" s="13">
        <f t="shared" si="68"/>
        <v>0</v>
      </c>
      <c r="T246" s="53">
        <v>0</v>
      </c>
    </row>
    <row r="247" spans="1:20" hidden="1">
      <c r="A247" s="25" t="s">
        <v>242</v>
      </c>
      <c r="B247" s="18"/>
      <c r="C247" s="18"/>
      <c r="D247" s="18"/>
      <c r="E247" s="18">
        <v>0</v>
      </c>
      <c r="F247" s="23">
        <v>1093</v>
      </c>
      <c r="G247" s="20">
        <f t="shared" si="67"/>
        <v>157</v>
      </c>
      <c r="H247" s="13">
        <v>1250</v>
      </c>
      <c r="I247" s="13">
        <v>914.81</v>
      </c>
      <c r="J247" s="13">
        <v>1250</v>
      </c>
      <c r="K247" s="13">
        <v>914.81</v>
      </c>
      <c r="L247" s="13"/>
      <c r="M247" s="13">
        <v>500</v>
      </c>
      <c r="N247" s="13">
        <v>0</v>
      </c>
      <c r="O247" s="13"/>
      <c r="P247" s="13">
        <v>0</v>
      </c>
      <c r="Q247" s="13">
        <f t="shared" si="68"/>
        <v>0</v>
      </c>
      <c r="R247" s="24">
        <v>0</v>
      </c>
      <c r="S247" s="13">
        <f t="shared" si="68"/>
        <v>0</v>
      </c>
      <c r="T247" s="22">
        <v>0</v>
      </c>
    </row>
    <row r="248" spans="1:20" hidden="1">
      <c r="A248" s="16" t="s">
        <v>243</v>
      </c>
      <c r="B248" s="18">
        <v>3000</v>
      </c>
      <c r="C248" s="18">
        <v>3019.42</v>
      </c>
      <c r="D248" s="18">
        <v>11717.2</v>
      </c>
      <c r="E248" s="18">
        <v>3300</v>
      </c>
      <c r="F248" s="23">
        <v>8606</v>
      </c>
      <c r="G248" s="20">
        <f t="shared" si="67"/>
        <v>-1606</v>
      </c>
      <c r="H248" s="13">
        <v>7000</v>
      </c>
      <c r="I248" s="13">
        <v>4829.68</v>
      </c>
      <c r="J248" s="13">
        <v>6000</v>
      </c>
      <c r="K248" s="13">
        <v>4829.68</v>
      </c>
      <c r="L248" s="13">
        <v>711.14</v>
      </c>
      <c r="M248" s="13">
        <v>1000</v>
      </c>
      <c r="N248" s="13">
        <v>0</v>
      </c>
      <c r="O248" s="13"/>
      <c r="P248" s="13">
        <v>0</v>
      </c>
      <c r="Q248" s="13">
        <f t="shared" si="68"/>
        <v>0</v>
      </c>
      <c r="R248" s="24">
        <v>0</v>
      </c>
      <c r="S248" s="13">
        <f t="shared" si="68"/>
        <v>0</v>
      </c>
      <c r="T248" s="22">
        <v>0</v>
      </c>
    </row>
    <row r="249" spans="1:20" hidden="1">
      <c r="A249" s="16" t="s">
        <v>244</v>
      </c>
      <c r="B249" s="18">
        <v>2000</v>
      </c>
      <c r="C249" s="18">
        <v>2000</v>
      </c>
      <c r="D249" s="18">
        <v>2095.6999999999998</v>
      </c>
      <c r="E249" s="18">
        <v>2000</v>
      </c>
      <c r="F249" s="23">
        <v>35</v>
      </c>
      <c r="G249" s="20">
        <f t="shared" si="67"/>
        <v>1965</v>
      </c>
      <c r="H249" s="13">
        <v>2000</v>
      </c>
      <c r="I249" s="13"/>
      <c r="J249" s="13">
        <v>0</v>
      </c>
      <c r="K249" s="13"/>
      <c r="L249" s="13"/>
      <c r="M249" s="13"/>
      <c r="N249" s="13"/>
      <c r="O249" s="13"/>
      <c r="P249" s="13"/>
      <c r="Q249" s="13">
        <f t="shared" si="68"/>
        <v>0</v>
      </c>
      <c r="R249" s="24"/>
      <c r="S249" s="13">
        <f t="shared" si="68"/>
        <v>0</v>
      </c>
      <c r="T249" s="22"/>
    </row>
    <row r="250" spans="1:20" hidden="1">
      <c r="A250" s="16" t="s">
        <v>245</v>
      </c>
      <c r="B250" s="18">
        <v>955.65</v>
      </c>
      <c r="C250" s="18">
        <v>3184.14</v>
      </c>
      <c r="D250" s="18">
        <v>2972.6</v>
      </c>
      <c r="E250" s="18">
        <v>2000</v>
      </c>
      <c r="F250" s="23">
        <v>1878</v>
      </c>
      <c r="G250" s="20">
        <f t="shared" si="67"/>
        <v>-878</v>
      </c>
      <c r="H250" s="13">
        <v>1000</v>
      </c>
      <c r="I250" s="13">
        <v>150</v>
      </c>
      <c r="J250" s="13">
        <v>0</v>
      </c>
      <c r="K250" s="13">
        <v>150</v>
      </c>
      <c r="L250" s="13">
        <v>1607.5</v>
      </c>
      <c r="M250" s="13"/>
      <c r="N250" s="13"/>
      <c r="O250" s="13"/>
      <c r="P250" s="13"/>
      <c r="Q250" s="13">
        <f t="shared" si="68"/>
        <v>0</v>
      </c>
      <c r="R250" s="24"/>
      <c r="S250" s="13">
        <f t="shared" si="68"/>
        <v>0</v>
      </c>
      <c r="T250" s="22"/>
    </row>
    <row r="251" spans="1:20" hidden="1">
      <c r="A251" s="13" t="s">
        <v>246</v>
      </c>
      <c r="B251" s="13"/>
      <c r="C251" s="13"/>
      <c r="D251" s="13"/>
      <c r="E251" s="13"/>
      <c r="F251" s="13"/>
      <c r="G251" s="13"/>
      <c r="H251" s="13"/>
      <c r="I251" s="13"/>
      <c r="J251" s="13">
        <v>0</v>
      </c>
      <c r="K251" s="13"/>
      <c r="L251" s="13">
        <v>375</v>
      </c>
      <c r="M251" s="13">
        <v>500</v>
      </c>
      <c r="N251" s="13">
        <v>500</v>
      </c>
      <c r="O251" s="13"/>
      <c r="P251" s="13">
        <v>500</v>
      </c>
      <c r="Q251" s="13">
        <f t="shared" si="68"/>
        <v>-250</v>
      </c>
      <c r="R251" s="24">
        <v>250</v>
      </c>
      <c r="S251" s="13">
        <f t="shared" si="68"/>
        <v>-250</v>
      </c>
      <c r="T251" s="22"/>
    </row>
    <row r="252" spans="1:20">
      <c r="A252" s="38" t="s">
        <v>247</v>
      </c>
      <c r="B252" s="39">
        <f t="shared" ref="B252:H252" si="69">SUM(B239:B250)</f>
        <v>5955.65</v>
      </c>
      <c r="C252" s="39">
        <f t="shared" si="69"/>
        <v>8203.56</v>
      </c>
      <c r="D252" s="39">
        <f t="shared" si="69"/>
        <v>20708.189999999999</v>
      </c>
      <c r="E252" s="39">
        <f t="shared" si="69"/>
        <v>7300</v>
      </c>
      <c r="F252" s="42">
        <f t="shared" si="69"/>
        <v>20679</v>
      </c>
      <c r="G252" s="42">
        <f t="shared" si="69"/>
        <v>1121</v>
      </c>
      <c r="H252" s="42">
        <f t="shared" si="69"/>
        <v>21800</v>
      </c>
      <c r="I252" s="42">
        <f t="shared" ref="I252:P252" si="70">SUM(I239:I251)</f>
        <v>12542.42</v>
      </c>
      <c r="J252" s="42">
        <f t="shared" si="70"/>
        <v>16250</v>
      </c>
      <c r="K252" s="42">
        <f t="shared" si="70"/>
        <v>12542.42</v>
      </c>
      <c r="L252" s="42">
        <f t="shared" si="70"/>
        <v>8765.880000000001</v>
      </c>
      <c r="M252" s="42">
        <f t="shared" si="70"/>
        <v>12000</v>
      </c>
      <c r="N252" s="42">
        <f t="shared" si="70"/>
        <v>14500</v>
      </c>
      <c r="O252" s="42">
        <f t="shared" si="70"/>
        <v>5178.2099999999991</v>
      </c>
      <c r="P252" s="42">
        <f t="shared" si="70"/>
        <v>7500</v>
      </c>
      <c r="Q252" s="43">
        <f t="shared" si="68"/>
        <v>750</v>
      </c>
      <c r="R252" s="42">
        <f t="shared" ref="R252" si="71">SUM(R239:R251)</f>
        <v>8250</v>
      </c>
      <c r="S252" s="43">
        <f t="shared" si="68"/>
        <v>-1750</v>
      </c>
      <c r="T252" s="44">
        <f t="shared" ref="T252" si="72">SUM(T239:T251)</f>
        <v>6500</v>
      </c>
    </row>
    <row r="253" spans="1:20">
      <c r="A253" s="16"/>
      <c r="B253" s="17"/>
      <c r="C253" s="17"/>
      <c r="D253" s="17"/>
      <c r="E253" s="18"/>
      <c r="F253" s="19"/>
      <c r="G253" s="20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22"/>
    </row>
    <row r="254" spans="1:20">
      <c r="A254" s="10" t="s">
        <v>248</v>
      </c>
      <c r="B254" s="17"/>
      <c r="C254" s="17"/>
      <c r="D254" s="17"/>
      <c r="E254" s="18"/>
      <c r="F254" s="19"/>
      <c r="G254" s="20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22"/>
    </row>
    <row r="255" spans="1:20" hidden="1">
      <c r="A255" s="33" t="s">
        <v>249</v>
      </c>
      <c r="B255" s="50"/>
      <c r="C255" s="50"/>
      <c r="D255" s="50"/>
      <c r="E255" s="18"/>
      <c r="F255" s="115"/>
      <c r="G255" s="20" t="e">
        <f>SUM(H255-#REF!)</f>
        <v>#REF!</v>
      </c>
      <c r="H255" s="13">
        <v>0</v>
      </c>
      <c r="I255" s="13"/>
      <c r="J255" s="13">
        <v>0</v>
      </c>
      <c r="K255" s="13"/>
      <c r="L255" s="13"/>
      <c r="M255" s="13">
        <v>0</v>
      </c>
      <c r="N255" s="13">
        <v>0</v>
      </c>
      <c r="O255" s="13"/>
      <c r="P255" s="13"/>
      <c r="Q255" s="13">
        <f t="shared" ref="Q255:S268" si="73">SUM(R255-P255)</f>
        <v>0</v>
      </c>
      <c r="R255" s="13">
        <v>0</v>
      </c>
      <c r="S255" s="13">
        <f t="shared" si="73"/>
        <v>0</v>
      </c>
      <c r="T255" s="22">
        <v>0</v>
      </c>
    </row>
    <row r="256" spans="1:20" hidden="1">
      <c r="A256" s="33" t="s">
        <v>250</v>
      </c>
      <c r="B256" s="18"/>
      <c r="C256" s="18"/>
      <c r="D256" s="18"/>
      <c r="E256" s="18"/>
      <c r="F256" s="23"/>
      <c r="G256" s="20" t="e">
        <f>SUM(H256-#REF!)</f>
        <v>#REF!</v>
      </c>
      <c r="H256" s="13">
        <v>0</v>
      </c>
      <c r="I256" s="13"/>
      <c r="J256" s="13">
        <v>0</v>
      </c>
      <c r="K256" s="13"/>
      <c r="L256" s="13"/>
      <c r="M256" s="13">
        <v>0</v>
      </c>
      <c r="N256" s="13">
        <v>0</v>
      </c>
      <c r="O256" s="13"/>
      <c r="P256" s="13"/>
      <c r="Q256" s="13">
        <f t="shared" si="73"/>
        <v>0</v>
      </c>
      <c r="R256" s="13">
        <v>0</v>
      </c>
      <c r="S256" s="13">
        <f t="shared" si="73"/>
        <v>0</v>
      </c>
      <c r="T256" s="22">
        <v>0</v>
      </c>
    </row>
    <row r="257" spans="1:20" hidden="1">
      <c r="A257" s="33" t="s">
        <v>251</v>
      </c>
      <c r="B257" s="18">
        <v>365.63</v>
      </c>
      <c r="C257" s="18"/>
      <c r="D257" s="18">
        <v>6255.8</v>
      </c>
      <c r="E257" s="18">
        <v>700</v>
      </c>
      <c r="F257" s="23"/>
      <c r="G257" s="20" t="e">
        <f>SUM(H257-#REF!)</f>
        <v>#REF!</v>
      </c>
      <c r="H257" s="13">
        <v>0</v>
      </c>
      <c r="I257" s="13"/>
      <c r="J257" s="13">
        <v>0</v>
      </c>
      <c r="K257" s="13"/>
      <c r="L257" s="13"/>
      <c r="M257" s="13">
        <v>0</v>
      </c>
      <c r="N257" s="13">
        <v>0</v>
      </c>
      <c r="O257" s="13"/>
      <c r="P257" s="13"/>
      <c r="Q257" s="13">
        <f t="shared" si="73"/>
        <v>0</v>
      </c>
      <c r="R257" s="13">
        <v>0</v>
      </c>
      <c r="S257" s="13">
        <f t="shared" si="73"/>
        <v>0</v>
      </c>
      <c r="T257" s="22">
        <v>0</v>
      </c>
    </row>
    <row r="258" spans="1:20" ht="25.5" hidden="1">
      <c r="A258" s="116" t="s">
        <v>252</v>
      </c>
      <c r="B258" s="2">
        <f t="shared" ref="B258:H258" si="74">SUM(B255:B257)</f>
        <v>365.63</v>
      </c>
      <c r="C258" s="2">
        <f t="shared" si="74"/>
        <v>0</v>
      </c>
      <c r="D258" s="2">
        <f t="shared" si="74"/>
        <v>6255.8</v>
      </c>
      <c r="E258" s="2">
        <f t="shared" si="74"/>
        <v>700</v>
      </c>
      <c r="F258" s="99">
        <f t="shared" si="74"/>
        <v>0</v>
      </c>
      <c r="G258" s="99" t="e">
        <f t="shared" si="74"/>
        <v>#REF!</v>
      </c>
      <c r="H258" s="99">
        <f t="shared" si="74"/>
        <v>0</v>
      </c>
      <c r="I258" s="99"/>
      <c r="J258" s="99">
        <f>SUM(J255:J257)</f>
        <v>0</v>
      </c>
      <c r="K258" s="99"/>
      <c r="L258" s="99"/>
      <c r="M258" s="99">
        <f t="shared" ref="M258" si="75">SUM(M255:M257)</f>
        <v>0</v>
      </c>
      <c r="N258" s="99">
        <f>SUM(N255:N257)</f>
        <v>0</v>
      </c>
      <c r="O258" s="99"/>
      <c r="P258" s="99"/>
      <c r="Q258" s="13">
        <f t="shared" si="73"/>
        <v>0</v>
      </c>
      <c r="R258" s="99">
        <f t="shared" ref="R258" si="76">SUM(R255:R257)</f>
        <v>0</v>
      </c>
      <c r="S258" s="13">
        <f t="shared" si="73"/>
        <v>0</v>
      </c>
      <c r="T258" s="100">
        <f t="shared" ref="T258" si="77">SUM(T255:T257)</f>
        <v>0</v>
      </c>
    </row>
    <row r="259" spans="1:20" hidden="1">
      <c r="A259" s="16"/>
      <c r="B259" s="17"/>
      <c r="C259" s="17"/>
      <c r="D259" s="17"/>
      <c r="E259" s="18"/>
      <c r="F259" s="19"/>
      <c r="G259" s="20"/>
      <c r="H259" s="13"/>
      <c r="I259" s="13"/>
      <c r="J259" s="13"/>
      <c r="K259" s="13"/>
      <c r="L259" s="13"/>
      <c r="M259" s="13"/>
      <c r="N259" s="13"/>
      <c r="O259" s="13"/>
      <c r="P259" s="13"/>
      <c r="Q259" s="13">
        <f t="shared" si="73"/>
        <v>0</v>
      </c>
      <c r="R259" s="13"/>
      <c r="S259" s="13">
        <f t="shared" si="73"/>
        <v>0</v>
      </c>
      <c r="T259" s="22"/>
    </row>
    <row r="260" spans="1:20" hidden="1">
      <c r="A260" s="16" t="s">
        <v>253</v>
      </c>
      <c r="B260" s="2"/>
      <c r="C260" s="2"/>
      <c r="D260" s="2"/>
      <c r="E260" s="18">
        <v>75000</v>
      </c>
      <c r="F260" s="97">
        <v>-153</v>
      </c>
      <c r="G260" s="20">
        <f>SUM(H260-F260)</f>
        <v>200153</v>
      </c>
      <c r="H260" s="13">
        <v>200000</v>
      </c>
      <c r="I260" s="13"/>
      <c r="J260" s="13">
        <v>200000</v>
      </c>
      <c r="K260" s="13"/>
      <c r="L260" s="13">
        <v>3131</v>
      </c>
      <c r="M260" s="13">
        <v>200000</v>
      </c>
      <c r="N260" s="13">
        <v>200000</v>
      </c>
      <c r="O260" s="13"/>
      <c r="P260" s="13">
        <v>65000</v>
      </c>
      <c r="Q260" s="13">
        <f t="shared" si="73"/>
        <v>25000</v>
      </c>
      <c r="R260" s="13">
        <v>90000</v>
      </c>
      <c r="S260" s="13">
        <f t="shared" si="73"/>
        <v>0</v>
      </c>
      <c r="T260" s="22">
        <v>90000</v>
      </c>
    </row>
    <row r="261" spans="1:20" hidden="1">
      <c r="A261" s="16" t="s">
        <v>254</v>
      </c>
      <c r="B261" s="2"/>
      <c r="C261" s="2"/>
      <c r="D261" s="2"/>
      <c r="E261" s="18"/>
      <c r="F261" s="97"/>
      <c r="G261" s="20"/>
      <c r="H261" s="13"/>
      <c r="I261" s="13">
        <v>81903.199999999997</v>
      </c>
      <c r="J261" s="13"/>
      <c r="K261" s="13"/>
      <c r="L261" s="13"/>
      <c r="M261" s="13"/>
      <c r="N261" s="13"/>
      <c r="O261" s="13"/>
      <c r="P261" s="13"/>
      <c r="Q261" s="13">
        <f t="shared" si="73"/>
        <v>0</v>
      </c>
      <c r="R261" s="13"/>
      <c r="S261" s="13">
        <f t="shared" si="73"/>
        <v>0</v>
      </c>
      <c r="T261" s="22"/>
    </row>
    <row r="262" spans="1:20" hidden="1">
      <c r="A262" s="16" t="s">
        <v>255</v>
      </c>
      <c r="B262" s="18"/>
      <c r="C262" s="18"/>
      <c r="D262" s="18"/>
      <c r="E262" s="18"/>
      <c r="F262" s="23">
        <v>98062</v>
      </c>
      <c r="G262" s="20">
        <f>SUM(H262-F262)</f>
        <v>-98062</v>
      </c>
      <c r="H262" s="13">
        <v>0</v>
      </c>
      <c r="I262" s="13">
        <v>23783.14</v>
      </c>
      <c r="J262" s="13">
        <v>0</v>
      </c>
      <c r="K262" s="13"/>
      <c r="L262" s="13"/>
      <c r="M262" s="13">
        <v>0</v>
      </c>
      <c r="N262" s="13">
        <v>0</v>
      </c>
      <c r="O262" s="13"/>
      <c r="P262" s="13">
        <v>0</v>
      </c>
      <c r="Q262" s="13">
        <f t="shared" si="73"/>
        <v>0</v>
      </c>
      <c r="R262" s="13">
        <v>0</v>
      </c>
      <c r="S262" s="13">
        <f t="shared" si="73"/>
        <v>0</v>
      </c>
      <c r="T262" s="22">
        <v>0</v>
      </c>
    </row>
    <row r="263" spans="1:20" hidden="1">
      <c r="A263" s="16" t="s">
        <v>256</v>
      </c>
      <c r="B263" s="2"/>
      <c r="C263" s="2"/>
      <c r="D263" s="2"/>
      <c r="E263" s="18"/>
      <c r="F263" s="97">
        <v>760</v>
      </c>
      <c r="G263" s="20"/>
      <c r="H263" s="13">
        <v>3000</v>
      </c>
      <c r="I263" s="13"/>
      <c r="J263" s="13">
        <v>0</v>
      </c>
      <c r="K263" s="13"/>
      <c r="L263" s="13"/>
      <c r="M263" s="13">
        <v>0</v>
      </c>
      <c r="N263" s="13">
        <v>0</v>
      </c>
      <c r="O263" s="13"/>
      <c r="P263" s="13">
        <v>0</v>
      </c>
      <c r="Q263" s="13">
        <f t="shared" si="73"/>
        <v>0</v>
      </c>
      <c r="R263" s="13">
        <v>0</v>
      </c>
      <c r="S263" s="13">
        <f t="shared" si="73"/>
        <v>0</v>
      </c>
      <c r="T263" s="22">
        <v>0</v>
      </c>
    </row>
    <row r="264" spans="1:20" hidden="1">
      <c r="A264" s="117" t="s">
        <v>257</v>
      </c>
      <c r="B264" s="18"/>
      <c r="C264" s="18"/>
      <c r="D264" s="18">
        <v>2498.6799999999998</v>
      </c>
      <c r="E264" s="18"/>
      <c r="F264" s="23">
        <v>50035</v>
      </c>
      <c r="G264" s="20"/>
      <c r="H264" s="13">
        <v>0</v>
      </c>
      <c r="I264" s="13">
        <v>25263.3</v>
      </c>
      <c r="J264" s="13">
        <v>0</v>
      </c>
      <c r="K264" s="13"/>
      <c r="L264" s="13"/>
      <c r="M264" s="13">
        <v>0</v>
      </c>
      <c r="N264" s="13">
        <v>0</v>
      </c>
      <c r="O264" s="13"/>
      <c r="P264" s="13">
        <v>0</v>
      </c>
      <c r="Q264" s="13">
        <f t="shared" si="73"/>
        <v>0</v>
      </c>
      <c r="R264" s="13">
        <v>0</v>
      </c>
      <c r="S264" s="13">
        <f t="shared" si="73"/>
        <v>0</v>
      </c>
      <c r="T264" s="22">
        <v>0</v>
      </c>
    </row>
    <row r="265" spans="1:20" hidden="1">
      <c r="A265" s="117" t="s">
        <v>258</v>
      </c>
      <c r="B265" s="18"/>
      <c r="C265" s="18"/>
      <c r="D265" s="18"/>
      <c r="E265" s="18"/>
      <c r="F265" s="23"/>
      <c r="G265" s="20"/>
      <c r="H265" s="13"/>
      <c r="I265" s="13"/>
      <c r="J265" s="13"/>
      <c r="K265" s="13"/>
      <c r="L265" s="13"/>
      <c r="M265" s="13"/>
      <c r="N265" s="13"/>
      <c r="O265" s="13">
        <v>59.99</v>
      </c>
      <c r="P265" s="13"/>
      <c r="Q265" s="13"/>
      <c r="R265" s="13"/>
      <c r="S265" s="13"/>
      <c r="T265" s="22"/>
    </row>
    <row r="266" spans="1:20" hidden="1">
      <c r="A266" s="118" t="s">
        <v>259</v>
      </c>
      <c r="B266" s="52"/>
      <c r="C266" s="52"/>
      <c r="D266" s="52"/>
      <c r="E266" s="52"/>
      <c r="F266" s="63"/>
      <c r="G266" s="51"/>
      <c r="H266" s="24"/>
      <c r="I266" s="24"/>
      <c r="J266" s="24"/>
      <c r="K266" s="24"/>
      <c r="L266" s="24"/>
      <c r="M266" s="24"/>
      <c r="N266" s="24"/>
      <c r="O266" s="24"/>
      <c r="P266" s="24">
        <v>14562</v>
      </c>
      <c r="Q266" s="13">
        <f t="shared" si="73"/>
        <v>0</v>
      </c>
      <c r="R266" s="24">
        <v>14562</v>
      </c>
      <c r="S266" s="13">
        <f t="shared" si="73"/>
        <v>0</v>
      </c>
      <c r="T266" s="22">
        <v>14562</v>
      </c>
    </row>
    <row r="267" spans="1:20" hidden="1">
      <c r="A267" s="118" t="s">
        <v>260</v>
      </c>
      <c r="B267" s="52"/>
      <c r="C267" s="52"/>
      <c r="D267" s="52"/>
      <c r="E267" s="52"/>
      <c r="F267" s="63"/>
      <c r="G267" s="51"/>
      <c r="H267" s="24"/>
      <c r="I267" s="24"/>
      <c r="J267" s="24"/>
      <c r="K267" s="24"/>
      <c r="L267" s="24"/>
      <c r="M267" s="24"/>
      <c r="N267" s="24"/>
      <c r="O267" s="24">
        <v>1573</v>
      </c>
      <c r="P267" s="24">
        <v>10000</v>
      </c>
      <c r="Q267" s="13">
        <f t="shared" si="73"/>
        <v>0</v>
      </c>
      <c r="R267" s="24">
        <v>10000</v>
      </c>
      <c r="S267" s="13">
        <f t="shared" si="73"/>
        <v>-3219</v>
      </c>
      <c r="T267" s="22">
        <v>6781</v>
      </c>
    </row>
    <row r="268" spans="1:20" hidden="1">
      <c r="A268" s="33" t="s">
        <v>261</v>
      </c>
      <c r="B268" s="104"/>
      <c r="C268" s="104"/>
      <c r="D268" s="104"/>
      <c r="E268" s="27"/>
      <c r="F268" s="105"/>
      <c r="G268" s="29"/>
      <c r="H268" s="30"/>
      <c r="I268" s="30"/>
      <c r="J268" s="30">
        <v>0</v>
      </c>
      <c r="K268" s="30"/>
      <c r="L268" s="30">
        <v>28555.93</v>
      </c>
      <c r="M268" s="30"/>
      <c r="N268" s="30">
        <v>15000</v>
      </c>
      <c r="O268" s="30"/>
      <c r="P268" s="30">
        <v>0</v>
      </c>
      <c r="Q268" s="30">
        <f t="shared" si="73"/>
        <v>0</v>
      </c>
      <c r="R268" s="30">
        <v>0</v>
      </c>
      <c r="S268" s="30">
        <f t="shared" si="73"/>
        <v>0</v>
      </c>
      <c r="T268" s="32">
        <v>0</v>
      </c>
    </row>
    <row r="269" spans="1:20" hidden="1">
      <c r="A269" s="117" t="s">
        <v>256</v>
      </c>
      <c r="B269" s="18"/>
      <c r="C269" s="18"/>
      <c r="D269" s="18"/>
      <c r="E269" s="18"/>
      <c r="F269" s="23"/>
      <c r="G269" s="20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22">
        <v>10000</v>
      </c>
    </row>
    <row r="270" spans="1:20" hidden="1">
      <c r="A270" s="117" t="s">
        <v>262</v>
      </c>
      <c r="B270" s="18"/>
      <c r="C270" s="18"/>
      <c r="D270" s="18"/>
      <c r="E270" s="18"/>
      <c r="F270" s="23"/>
      <c r="G270" s="20"/>
      <c r="H270" s="13"/>
      <c r="I270" s="13"/>
      <c r="J270" s="13"/>
      <c r="K270" s="13"/>
      <c r="L270" s="13">
        <v>19234.96</v>
      </c>
      <c r="M270" s="13">
        <v>17500</v>
      </c>
      <c r="N270" s="13">
        <v>20500</v>
      </c>
      <c r="O270" s="13">
        <v>58</v>
      </c>
      <c r="P270" s="13"/>
      <c r="Q270" s="13"/>
      <c r="R270" s="13"/>
      <c r="S270" s="13"/>
      <c r="T270" s="22"/>
    </row>
    <row r="271" spans="1:20" hidden="1">
      <c r="A271" s="117" t="s">
        <v>263</v>
      </c>
      <c r="B271" s="18"/>
      <c r="C271" s="18"/>
      <c r="D271" s="18"/>
      <c r="E271" s="18"/>
      <c r="F271" s="23"/>
      <c r="G271" s="20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22">
        <v>3500</v>
      </c>
    </row>
    <row r="272" spans="1:20" hidden="1">
      <c r="A272" s="117" t="s">
        <v>264</v>
      </c>
      <c r="B272" s="18"/>
      <c r="C272" s="18"/>
      <c r="D272" s="18"/>
      <c r="E272" s="18"/>
      <c r="F272" s="23"/>
      <c r="G272" s="20"/>
      <c r="H272" s="13"/>
      <c r="I272" s="13"/>
      <c r="J272" s="13"/>
      <c r="K272" s="13"/>
      <c r="L272" s="13"/>
      <c r="M272" s="13"/>
      <c r="N272" s="13"/>
      <c r="O272" s="13">
        <v>6458.56</v>
      </c>
      <c r="P272" s="13">
        <v>6500</v>
      </c>
      <c r="Q272" s="13">
        <f>SUM(R272-P272)</f>
        <v>0</v>
      </c>
      <c r="R272" s="13">
        <v>6500</v>
      </c>
      <c r="S272" s="13">
        <f>SUM(T272-R272)</f>
        <v>0</v>
      </c>
      <c r="T272" s="22">
        <v>6500</v>
      </c>
    </row>
    <row r="273" spans="1:20" hidden="1">
      <c r="A273" s="117" t="s">
        <v>265</v>
      </c>
      <c r="B273" s="18"/>
      <c r="C273" s="18"/>
      <c r="D273" s="18"/>
      <c r="E273" s="18"/>
      <c r="F273" s="23"/>
      <c r="G273" s="20"/>
      <c r="H273" s="13"/>
      <c r="I273" s="13"/>
      <c r="J273" s="13"/>
      <c r="K273" s="13"/>
      <c r="L273" s="13"/>
      <c r="M273" s="13"/>
      <c r="N273" s="13"/>
      <c r="O273" s="13">
        <v>1476.97</v>
      </c>
      <c r="P273" s="13">
        <v>2000</v>
      </c>
      <c r="Q273" s="13">
        <f>SUM(R273-P273)</f>
        <v>-500</v>
      </c>
      <c r="R273" s="13">
        <v>1500</v>
      </c>
      <c r="S273" s="13">
        <f>SUM(T273-R273)</f>
        <v>0</v>
      </c>
      <c r="T273" s="22">
        <v>1500</v>
      </c>
    </row>
    <row r="274" spans="1:20" hidden="1">
      <c r="A274" s="117" t="s">
        <v>266</v>
      </c>
      <c r="B274" s="18"/>
      <c r="C274" s="18"/>
      <c r="D274" s="18"/>
      <c r="E274" s="18"/>
      <c r="F274" s="23"/>
      <c r="G274" s="20"/>
      <c r="H274" s="13"/>
      <c r="I274" s="13"/>
      <c r="J274" s="13"/>
      <c r="K274" s="13"/>
      <c r="L274" s="13"/>
      <c r="M274" s="13"/>
      <c r="N274" s="13"/>
      <c r="O274" s="13">
        <v>10000</v>
      </c>
      <c r="P274" s="13">
        <v>10000</v>
      </c>
      <c r="Q274" s="13">
        <f>SUM(R274-P274)</f>
        <v>2000</v>
      </c>
      <c r="R274" s="13">
        <v>12000</v>
      </c>
      <c r="S274" s="13">
        <f>SUM(T274-R274)</f>
        <v>0</v>
      </c>
      <c r="T274" s="22">
        <v>12000</v>
      </c>
    </row>
    <row r="275" spans="1:20" hidden="1">
      <c r="A275" s="117" t="s">
        <v>267</v>
      </c>
      <c r="B275" s="18"/>
      <c r="C275" s="18"/>
      <c r="D275" s="18"/>
      <c r="E275" s="18"/>
      <c r="F275" s="23"/>
      <c r="G275" s="20"/>
      <c r="H275" s="13"/>
      <c r="I275" s="13"/>
      <c r="J275" s="13"/>
      <c r="K275" s="13"/>
      <c r="L275" s="13"/>
      <c r="M275" s="13"/>
      <c r="N275" s="13"/>
      <c r="O275" s="13">
        <v>1902.52</v>
      </c>
      <c r="P275" s="13">
        <v>2000</v>
      </c>
      <c r="Q275" s="13">
        <f>SUM(R275-P275)</f>
        <v>2500</v>
      </c>
      <c r="R275" s="24">
        <v>4500</v>
      </c>
      <c r="S275" s="13">
        <f>SUM(T275-R275)</f>
        <v>-1500</v>
      </c>
      <c r="T275" s="22">
        <v>3000</v>
      </c>
    </row>
    <row r="276" spans="1:20" hidden="1">
      <c r="A276" s="117" t="s">
        <v>268</v>
      </c>
      <c r="B276" s="18"/>
      <c r="C276" s="18"/>
      <c r="D276" s="18"/>
      <c r="E276" s="18"/>
      <c r="F276" s="23"/>
      <c r="G276" s="20"/>
      <c r="H276" s="13"/>
      <c r="I276" s="13"/>
      <c r="J276" s="13"/>
      <c r="K276" s="13"/>
      <c r="L276" s="13"/>
      <c r="M276" s="13"/>
      <c r="N276" s="13"/>
      <c r="O276" s="13"/>
      <c r="P276" s="13"/>
      <c r="Q276" s="13">
        <f>SUM(R276-P276)</f>
        <v>2500</v>
      </c>
      <c r="R276" s="13">
        <v>2500</v>
      </c>
      <c r="S276" s="13">
        <f>SUM(T276-R276)</f>
        <v>0</v>
      </c>
      <c r="T276" s="22">
        <v>2500</v>
      </c>
    </row>
    <row r="277" spans="1:20" hidden="1">
      <c r="A277" s="119" t="s">
        <v>269</v>
      </c>
      <c r="B277" s="18"/>
      <c r="C277" s="18"/>
      <c r="D277" s="18"/>
      <c r="E277" s="18"/>
      <c r="F277" s="23"/>
      <c r="G277" s="20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22">
        <v>10500</v>
      </c>
    </row>
    <row r="278" spans="1:20" hidden="1">
      <c r="A278" s="120" t="s">
        <v>270</v>
      </c>
      <c r="B278" s="27"/>
      <c r="C278" s="27"/>
      <c r="D278" s="27"/>
      <c r="E278" s="27"/>
      <c r="F278" s="28"/>
      <c r="G278" s="29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2"/>
    </row>
    <row r="279" spans="1:20" hidden="1">
      <c r="A279" s="120" t="s">
        <v>271</v>
      </c>
      <c r="B279" s="27"/>
      <c r="C279" s="27"/>
      <c r="D279" s="27"/>
      <c r="E279" s="27"/>
      <c r="F279" s="28"/>
      <c r="G279" s="29"/>
      <c r="H279" s="30"/>
      <c r="I279" s="30"/>
      <c r="J279" s="30"/>
      <c r="K279" s="30"/>
      <c r="L279" s="30"/>
      <c r="M279" s="30"/>
      <c r="N279" s="30"/>
      <c r="O279" s="30">
        <v>20241.07</v>
      </c>
      <c r="P279" s="30">
        <v>20500</v>
      </c>
      <c r="Q279" s="30">
        <f t="shared" ref="Q279:S286" si="78">SUM(R279-P279)</f>
        <v>-20500</v>
      </c>
      <c r="R279" s="30">
        <v>0</v>
      </c>
      <c r="S279" s="30">
        <f t="shared" si="78"/>
        <v>0</v>
      </c>
      <c r="T279" s="32">
        <v>0</v>
      </c>
    </row>
    <row r="280" spans="1:20" hidden="1">
      <c r="A280" s="120" t="s">
        <v>272</v>
      </c>
      <c r="B280" s="27"/>
      <c r="C280" s="27"/>
      <c r="D280" s="27"/>
      <c r="E280" s="27"/>
      <c r="F280" s="28"/>
      <c r="G280" s="29"/>
      <c r="H280" s="30"/>
      <c r="I280" s="30"/>
      <c r="J280" s="30"/>
      <c r="K280" s="30"/>
      <c r="L280" s="30"/>
      <c r="M280" s="30"/>
      <c r="N280" s="30"/>
      <c r="O280" s="30">
        <v>4603.95</v>
      </c>
      <c r="P280" s="30">
        <v>4500</v>
      </c>
      <c r="Q280" s="30">
        <f t="shared" si="78"/>
        <v>-4500</v>
      </c>
      <c r="R280" s="30">
        <v>0</v>
      </c>
      <c r="S280" s="30">
        <f t="shared" si="78"/>
        <v>0</v>
      </c>
      <c r="T280" s="32">
        <v>0</v>
      </c>
    </row>
    <row r="281" spans="1:20" hidden="1">
      <c r="A281" s="120" t="s">
        <v>273</v>
      </c>
      <c r="B281" s="27"/>
      <c r="C281" s="27"/>
      <c r="D281" s="27"/>
      <c r="E281" s="27"/>
      <c r="F281" s="28"/>
      <c r="G281" s="29"/>
      <c r="H281" s="30"/>
      <c r="I281" s="30"/>
      <c r="J281" s="30"/>
      <c r="K281" s="30"/>
      <c r="L281" s="30"/>
      <c r="M281" s="30"/>
      <c r="N281" s="30"/>
      <c r="O281" s="30">
        <v>8143.76</v>
      </c>
      <c r="P281" s="30">
        <v>7000</v>
      </c>
      <c r="Q281" s="30">
        <f t="shared" si="78"/>
        <v>-7000</v>
      </c>
      <c r="R281" s="30">
        <v>0</v>
      </c>
      <c r="S281" s="30">
        <f t="shared" si="78"/>
        <v>0</v>
      </c>
      <c r="T281" s="32">
        <v>0</v>
      </c>
    </row>
    <row r="282" spans="1:20" ht="25.5" hidden="1">
      <c r="A282" s="120" t="s">
        <v>274</v>
      </c>
      <c r="B282" s="27"/>
      <c r="C282" s="27"/>
      <c r="D282" s="27"/>
      <c r="E282" s="27"/>
      <c r="F282" s="28"/>
      <c r="G282" s="29"/>
      <c r="H282" s="30"/>
      <c r="I282" s="30"/>
      <c r="J282" s="30"/>
      <c r="K282" s="30"/>
      <c r="L282" s="30">
        <v>5290</v>
      </c>
      <c r="M282" s="30"/>
      <c r="N282" s="30"/>
      <c r="O282" s="30">
        <v>962.49</v>
      </c>
      <c r="P282" s="30"/>
      <c r="Q282" s="30">
        <f t="shared" si="78"/>
        <v>0</v>
      </c>
      <c r="R282" s="30">
        <v>0</v>
      </c>
      <c r="S282" s="30">
        <f t="shared" si="78"/>
        <v>0</v>
      </c>
      <c r="T282" s="32">
        <v>0</v>
      </c>
    </row>
    <row r="283" spans="1:20" hidden="1">
      <c r="A283" s="120" t="s">
        <v>275</v>
      </c>
      <c r="B283" s="27"/>
      <c r="C283" s="27"/>
      <c r="D283" s="27"/>
      <c r="E283" s="27"/>
      <c r="F283" s="28"/>
      <c r="G283" s="29"/>
      <c r="H283" s="30"/>
      <c r="I283" s="30"/>
      <c r="J283" s="30"/>
      <c r="K283" s="30"/>
      <c r="L283" s="30">
        <v>1000</v>
      </c>
      <c r="M283" s="30"/>
      <c r="N283" s="30">
        <v>1000</v>
      </c>
      <c r="O283" s="30"/>
      <c r="P283" s="30">
        <v>1000</v>
      </c>
      <c r="Q283" s="30">
        <f t="shared" si="78"/>
        <v>-1000</v>
      </c>
      <c r="R283" s="30">
        <v>0</v>
      </c>
      <c r="S283" s="30">
        <f t="shared" si="78"/>
        <v>0</v>
      </c>
      <c r="T283" s="32">
        <v>0</v>
      </c>
    </row>
    <row r="284" spans="1:20" hidden="1">
      <c r="A284" s="120" t="s">
        <v>276</v>
      </c>
      <c r="B284" s="27"/>
      <c r="C284" s="27"/>
      <c r="D284" s="27"/>
      <c r="E284" s="27"/>
      <c r="F284" s="28"/>
      <c r="G284" s="29"/>
      <c r="H284" s="30"/>
      <c r="I284" s="30"/>
      <c r="J284" s="30"/>
      <c r="K284" s="30"/>
      <c r="L284" s="30">
        <v>2316.8200000000002</v>
      </c>
      <c r="M284" s="30"/>
      <c r="N284" s="30"/>
      <c r="O284" s="30">
        <v>168.23</v>
      </c>
      <c r="P284" s="30"/>
      <c r="Q284" s="30">
        <f t="shared" si="78"/>
        <v>0</v>
      </c>
      <c r="R284" s="30">
        <v>0</v>
      </c>
      <c r="S284" s="30">
        <f t="shared" si="78"/>
        <v>0</v>
      </c>
      <c r="T284" s="32">
        <v>0</v>
      </c>
    </row>
    <row r="285" spans="1:20" hidden="1">
      <c r="A285" s="120" t="s">
        <v>277</v>
      </c>
      <c r="B285" s="27"/>
      <c r="C285" s="27"/>
      <c r="D285" s="27"/>
      <c r="E285" s="27"/>
      <c r="F285" s="28"/>
      <c r="G285" s="29"/>
      <c r="H285" s="30"/>
      <c r="I285" s="30"/>
      <c r="J285" s="30"/>
      <c r="K285" s="30"/>
      <c r="L285" s="30">
        <v>0</v>
      </c>
      <c r="M285" s="30"/>
      <c r="N285" s="30"/>
      <c r="O285" s="30"/>
      <c r="P285" s="30"/>
      <c r="Q285" s="30">
        <f t="shared" si="78"/>
        <v>0</v>
      </c>
      <c r="R285" s="30">
        <v>0</v>
      </c>
      <c r="S285" s="30">
        <f t="shared" si="78"/>
        <v>0</v>
      </c>
      <c r="T285" s="32">
        <v>0</v>
      </c>
    </row>
    <row r="286" spans="1:20">
      <c r="A286" s="38" t="s">
        <v>278</v>
      </c>
      <c r="B286" s="39">
        <f>SUM(B258:B270)</f>
        <v>365.63</v>
      </c>
      <c r="C286" s="39">
        <f>SUM(C258:C270)</f>
        <v>0</v>
      </c>
      <c r="D286" s="39">
        <f>SUM(D258:D270)</f>
        <v>8754.48</v>
      </c>
      <c r="E286" s="39">
        <f>SUM(E258:E270)</f>
        <v>75700</v>
      </c>
      <c r="F286" s="42">
        <f>SUM(F258:F270)</f>
        <v>148704</v>
      </c>
      <c r="G286" s="41">
        <f>SUM(H286-F286)</f>
        <v>54296</v>
      </c>
      <c r="H286" s="42">
        <f>SUM(H260:H270)</f>
        <v>203000</v>
      </c>
      <c r="I286" s="42">
        <f>SUM(I260:I270)</f>
        <v>130949.64</v>
      </c>
      <c r="J286" s="42">
        <f>SUM(J260:J270)</f>
        <v>200000</v>
      </c>
      <c r="K286" s="42">
        <f t="shared" ref="K286:P286" si="79">SUM(K260:K285)</f>
        <v>0</v>
      </c>
      <c r="L286" s="42">
        <f t="shared" si="79"/>
        <v>59528.71</v>
      </c>
      <c r="M286" s="42">
        <f t="shared" si="79"/>
        <v>217500</v>
      </c>
      <c r="N286" s="42">
        <f t="shared" si="79"/>
        <v>236500</v>
      </c>
      <c r="O286" s="42">
        <f t="shared" si="79"/>
        <v>55648.54</v>
      </c>
      <c r="P286" s="42">
        <f t="shared" si="79"/>
        <v>143062</v>
      </c>
      <c r="Q286" s="43">
        <f t="shared" si="78"/>
        <v>-1500</v>
      </c>
      <c r="R286" s="42">
        <f>SUM(R260:R285)</f>
        <v>141562</v>
      </c>
      <c r="S286" s="43">
        <f t="shared" si="78"/>
        <v>19281</v>
      </c>
      <c r="T286" s="44">
        <f>SUM(T260:T285)</f>
        <v>160843</v>
      </c>
    </row>
    <row r="287" spans="1:20">
      <c r="A287" s="16"/>
      <c r="B287" s="17"/>
      <c r="C287" s="17"/>
      <c r="D287" s="17"/>
      <c r="E287" s="18"/>
      <c r="F287" s="19"/>
      <c r="G287" s="20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22"/>
    </row>
    <row r="288" spans="1:20">
      <c r="A288" s="38" t="s">
        <v>279</v>
      </c>
      <c r="B288" s="39" t="e">
        <f>SUM(#REF!+B148+B133+B236+B124+#REF!+B140+B252+B286+B172+B162)</f>
        <v>#REF!</v>
      </c>
      <c r="C288" s="39" t="e">
        <f>SUM(#REF!+C148+C133+C236+C124+#REF!+C140+C252+C286+C172+C162)</f>
        <v>#REF!</v>
      </c>
      <c r="D288" s="39" t="e">
        <f>SUM(#REF!+D148+D133+D236+D124+#REF!+D140+D252+D286+D172+D162)</f>
        <v>#REF!</v>
      </c>
      <c r="E288" s="39" t="e">
        <f>SUM(#REF!+E148+E133+E236+E124+#REF!+E140+E252+E286+E172+E162)</f>
        <v>#REF!</v>
      </c>
      <c r="F288" s="42" t="e">
        <f>SUM(#REF!+F148+F133+F236+F124+#REF!+F140+F252+F286+F172+F162+F181+F199)</f>
        <v>#REF!</v>
      </c>
      <c r="G288" s="20" t="e">
        <f>SUM(H288-F288)</f>
        <v>#REF!</v>
      </c>
      <c r="H288" s="42" t="e">
        <f>SUM(#REF!+H148+H133+H236+H124+#REF!+H140+H252+H286+H172+H181+H162)</f>
        <v>#REF!</v>
      </c>
      <c r="I288" s="42" t="e">
        <f>SUM(#REF!+I148+I133+I236+I124+#REF!+I140+I252+I286+I172+I181+I162+I199)</f>
        <v>#REF!</v>
      </c>
      <c r="J288" s="42" t="e">
        <f>SUM(#REF!+J148+J133+J236+J124+#REF!+J140+J252+J286+J172+J181+J162+J199)</f>
        <v>#REF!</v>
      </c>
      <c r="K288" s="42">
        <f t="shared" ref="K288:P288" si="80">SUM(K90,K98,K113,K124,K133,K140,K162,K172,K181,K199,K205,K236,K252,K286)</f>
        <v>251443.35000000006</v>
      </c>
      <c r="L288" s="42">
        <f t="shared" si="80"/>
        <v>299624.87</v>
      </c>
      <c r="M288" s="42">
        <f t="shared" si="80"/>
        <v>459600</v>
      </c>
      <c r="N288" s="42">
        <f t="shared" si="80"/>
        <v>500333</v>
      </c>
      <c r="O288" s="42">
        <f t="shared" si="80"/>
        <v>268928.49</v>
      </c>
      <c r="P288" s="42">
        <f t="shared" si="80"/>
        <v>373450</v>
      </c>
      <c r="Q288" s="43">
        <f>SUM(R288-P288)</f>
        <v>-24997</v>
      </c>
      <c r="R288" s="42">
        <f>SUM(R90,R98,R113,R124,R133,R140,R162,R172,R181,R199,R205,R236,R252,R286)</f>
        <v>348453</v>
      </c>
      <c r="S288" s="43">
        <f>SUM(T288-R288)</f>
        <v>22682</v>
      </c>
      <c r="T288" s="44">
        <f>SUM(T90,T98,T113,T124,T133,T140,T162,T172,T181,T191,T199,T205,T236,T252,T286)</f>
        <v>371135</v>
      </c>
    </row>
    <row r="289" spans="1:20">
      <c r="A289" s="10"/>
      <c r="B289" s="17"/>
      <c r="C289" s="17"/>
      <c r="D289" s="17"/>
      <c r="E289" s="18"/>
      <c r="F289" s="19"/>
      <c r="G289" s="20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22"/>
    </row>
    <row r="290" spans="1:20">
      <c r="A290" s="10" t="s">
        <v>280</v>
      </c>
      <c r="B290" s="17"/>
      <c r="C290" s="17"/>
      <c r="D290" s="17"/>
      <c r="E290" s="18"/>
      <c r="F290" s="19"/>
      <c r="G290" s="20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22"/>
    </row>
    <row r="291" spans="1:20" hidden="1">
      <c r="A291" s="33" t="s">
        <v>281</v>
      </c>
      <c r="B291" s="17"/>
      <c r="C291" s="17"/>
      <c r="D291" s="18">
        <v>10447.83</v>
      </c>
      <c r="E291" s="18">
        <v>0</v>
      </c>
      <c r="F291" s="23"/>
      <c r="G291" s="20" t="e">
        <f>SUM(H291-#REF!)</f>
        <v>#REF!</v>
      </c>
      <c r="H291" s="13">
        <v>0</v>
      </c>
      <c r="I291" s="13"/>
      <c r="J291" s="13">
        <v>0</v>
      </c>
      <c r="K291" s="13"/>
      <c r="L291" s="13"/>
      <c r="M291" s="13">
        <v>0</v>
      </c>
      <c r="N291" s="13">
        <v>0</v>
      </c>
      <c r="O291" s="13"/>
      <c r="P291" s="13"/>
      <c r="Q291" s="13">
        <f t="shared" ref="Q291:S299" si="81">SUM(R291-P291)</f>
        <v>0</v>
      </c>
      <c r="R291" s="13">
        <v>0</v>
      </c>
      <c r="S291" s="13">
        <f t="shared" si="81"/>
        <v>0</v>
      </c>
      <c r="T291" s="22">
        <v>0</v>
      </c>
    </row>
    <row r="292" spans="1:20" hidden="1">
      <c r="A292" s="33" t="s">
        <v>282</v>
      </c>
      <c r="B292" s="17"/>
      <c r="C292" s="17"/>
      <c r="D292" s="18">
        <v>36382.129999999997</v>
      </c>
      <c r="E292" s="18">
        <v>0</v>
      </c>
      <c r="F292" s="23"/>
      <c r="G292" s="20" t="e">
        <f>SUM(H292-#REF!)</f>
        <v>#REF!</v>
      </c>
      <c r="H292" s="13">
        <v>0</v>
      </c>
      <c r="I292" s="13"/>
      <c r="J292" s="13">
        <v>0</v>
      </c>
      <c r="K292" s="13"/>
      <c r="L292" s="13"/>
      <c r="M292" s="13">
        <v>0</v>
      </c>
      <c r="N292" s="13">
        <v>0</v>
      </c>
      <c r="O292" s="13"/>
      <c r="P292" s="13"/>
      <c r="Q292" s="13">
        <f t="shared" si="81"/>
        <v>0</v>
      </c>
      <c r="R292" s="13">
        <v>0</v>
      </c>
      <c r="S292" s="13">
        <f t="shared" si="81"/>
        <v>0</v>
      </c>
      <c r="T292" s="22">
        <v>0</v>
      </c>
    </row>
    <row r="293" spans="1:20" hidden="1">
      <c r="A293" s="16" t="s">
        <v>283</v>
      </c>
      <c r="B293" s="17"/>
      <c r="C293" s="17"/>
      <c r="D293" s="17"/>
      <c r="E293" s="18">
        <v>0</v>
      </c>
      <c r="F293" s="19"/>
      <c r="G293" s="20">
        <f t="shared" ref="G293:G295" si="82">SUM(H293-F293)</f>
        <v>8000</v>
      </c>
      <c r="H293" s="13">
        <v>8000</v>
      </c>
      <c r="I293" s="13">
        <v>4719.99</v>
      </c>
      <c r="J293" s="13">
        <v>7000</v>
      </c>
      <c r="K293" s="13">
        <v>4719.99</v>
      </c>
      <c r="L293" s="13"/>
      <c r="M293" s="13">
        <v>5000</v>
      </c>
      <c r="N293" s="13">
        <v>3000</v>
      </c>
      <c r="O293" s="13">
        <v>4518</v>
      </c>
      <c r="P293" s="13">
        <v>4500</v>
      </c>
      <c r="Q293" s="13">
        <f t="shared" si="81"/>
        <v>-1500</v>
      </c>
      <c r="R293" s="13">
        <v>3000</v>
      </c>
      <c r="S293" s="13">
        <f t="shared" si="81"/>
        <v>0</v>
      </c>
      <c r="T293" s="22">
        <v>3000</v>
      </c>
    </row>
    <row r="294" spans="1:20" hidden="1">
      <c r="A294" s="16" t="s">
        <v>284</v>
      </c>
      <c r="B294" s="18">
        <v>728.52</v>
      </c>
      <c r="C294" s="18"/>
      <c r="D294" s="18">
        <v>78.72</v>
      </c>
      <c r="E294" s="18">
        <v>5000</v>
      </c>
      <c r="F294" s="23">
        <v>1450</v>
      </c>
      <c r="G294" s="20">
        <f t="shared" si="82"/>
        <v>3550</v>
      </c>
      <c r="H294" s="13">
        <v>5000</v>
      </c>
      <c r="I294" s="13">
        <v>1440</v>
      </c>
      <c r="J294" s="13">
        <v>5000</v>
      </c>
      <c r="K294" s="13">
        <v>1440</v>
      </c>
      <c r="L294" s="13">
        <v>2482.85</v>
      </c>
      <c r="M294" s="13">
        <v>7000</v>
      </c>
      <c r="N294" s="13">
        <v>8000</v>
      </c>
      <c r="O294" s="13"/>
      <c r="P294" s="13">
        <v>4000</v>
      </c>
      <c r="Q294" s="13">
        <f t="shared" si="81"/>
        <v>0</v>
      </c>
      <c r="R294" s="13">
        <v>4000</v>
      </c>
      <c r="S294" s="13">
        <f t="shared" si="81"/>
        <v>-4000</v>
      </c>
      <c r="T294" s="22">
        <v>0</v>
      </c>
    </row>
    <row r="295" spans="1:20" hidden="1">
      <c r="A295" s="34" t="s">
        <v>285</v>
      </c>
      <c r="B295" s="18">
        <v>1804.84</v>
      </c>
      <c r="C295" s="18">
        <v>6185.45</v>
      </c>
      <c r="D295" s="18">
        <v>21209.38</v>
      </c>
      <c r="E295" s="18">
        <v>49000</v>
      </c>
      <c r="F295" s="23">
        <v>12086</v>
      </c>
      <c r="G295" s="20">
        <f t="shared" si="82"/>
        <v>36914</v>
      </c>
      <c r="H295" s="13">
        <v>49000</v>
      </c>
      <c r="I295" s="13">
        <v>3030.25</v>
      </c>
      <c r="J295" s="13">
        <v>49000</v>
      </c>
      <c r="K295" s="13">
        <v>3030.25</v>
      </c>
      <c r="L295" s="13">
        <v>4962.17</v>
      </c>
      <c r="M295" s="13">
        <v>49000</v>
      </c>
      <c r="N295" s="13">
        <v>0</v>
      </c>
      <c r="O295" s="13"/>
      <c r="P295" s="13">
        <v>0</v>
      </c>
      <c r="Q295" s="13">
        <f t="shared" si="81"/>
        <v>0</v>
      </c>
      <c r="R295" s="13">
        <v>0</v>
      </c>
      <c r="S295" s="13">
        <f t="shared" si="81"/>
        <v>0</v>
      </c>
      <c r="T295" s="22">
        <v>0</v>
      </c>
    </row>
    <row r="296" spans="1:20" hidden="1">
      <c r="A296" s="33" t="s">
        <v>286</v>
      </c>
      <c r="B296" s="18"/>
      <c r="C296" s="18"/>
      <c r="D296" s="18"/>
      <c r="E296" s="18"/>
      <c r="F296" s="23">
        <v>38000</v>
      </c>
      <c r="G296" s="20"/>
      <c r="H296" s="13">
        <v>0</v>
      </c>
      <c r="I296" s="13"/>
      <c r="J296" s="13">
        <v>0</v>
      </c>
      <c r="K296" s="13"/>
      <c r="L296" s="13"/>
      <c r="M296" s="13">
        <v>0</v>
      </c>
      <c r="N296" s="13">
        <v>0</v>
      </c>
      <c r="O296" s="13"/>
      <c r="P296" s="13">
        <v>0</v>
      </c>
      <c r="Q296" s="13">
        <f t="shared" si="81"/>
        <v>0</v>
      </c>
      <c r="R296" s="13">
        <v>0</v>
      </c>
      <c r="S296" s="13">
        <f t="shared" si="81"/>
        <v>0</v>
      </c>
      <c r="T296" s="22">
        <v>0</v>
      </c>
    </row>
    <row r="297" spans="1:20" hidden="1">
      <c r="A297" s="33" t="s">
        <v>287</v>
      </c>
      <c r="B297" s="18"/>
      <c r="C297" s="18"/>
      <c r="D297" s="18"/>
      <c r="E297" s="18"/>
      <c r="F297" s="23"/>
      <c r="G297" s="20"/>
      <c r="H297" s="13">
        <v>0</v>
      </c>
      <c r="I297" s="13"/>
      <c r="J297" s="13">
        <v>0</v>
      </c>
      <c r="K297" s="13"/>
      <c r="L297" s="13"/>
      <c r="M297" s="13">
        <v>0</v>
      </c>
      <c r="N297" s="13">
        <v>0</v>
      </c>
      <c r="O297" s="13"/>
      <c r="P297" s="13">
        <v>0</v>
      </c>
      <c r="Q297" s="13">
        <f t="shared" si="81"/>
        <v>0</v>
      </c>
      <c r="R297" s="13">
        <v>0</v>
      </c>
      <c r="S297" s="13">
        <f t="shared" si="81"/>
        <v>0</v>
      </c>
      <c r="T297" s="22">
        <v>0</v>
      </c>
    </row>
    <row r="298" spans="1:20" hidden="1">
      <c r="A298" s="30" t="s">
        <v>288</v>
      </c>
      <c r="B298" s="30"/>
      <c r="C298" s="30"/>
      <c r="D298" s="30"/>
      <c r="E298" s="30"/>
      <c r="F298" s="30"/>
      <c r="G298" s="30"/>
      <c r="H298" s="30"/>
      <c r="I298" s="30"/>
      <c r="J298" s="30">
        <v>0</v>
      </c>
      <c r="K298" s="30"/>
      <c r="L298" s="30">
        <v>11499.73</v>
      </c>
      <c r="M298" s="30">
        <v>11500</v>
      </c>
      <c r="N298" s="30">
        <v>0</v>
      </c>
      <c r="O298" s="30"/>
      <c r="P298" s="30">
        <v>0</v>
      </c>
      <c r="Q298" s="30">
        <f t="shared" si="81"/>
        <v>0</v>
      </c>
      <c r="R298" s="30">
        <v>0</v>
      </c>
      <c r="S298" s="30">
        <f t="shared" si="81"/>
        <v>0</v>
      </c>
      <c r="T298" s="32">
        <v>0</v>
      </c>
    </row>
    <row r="299" spans="1:20">
      <c r="A299" s="38" t="s">
        <v>289</v>
      </c>
      <c r="B299" s="39">
        <f t="shared" ref="B299:E299" si="83">SUM(B291:B295)</f>
        <v>2533.3599999999997</v>
      </c>
      <c r="C299" s="39">
        <f t="shared" si="83"/>
        <v>6185.45</v>
      </c>
      <c r="D299" s="39">
        <f t="shared" si="83"/>
        <v>68118.06</v>
      </c>
      <c r="E299" s="39">
        <f t="shared" si="83"/>
        <v>54000</v>
      </c>
      <c r="F299" s="42">
        <f>SUM(F291:F297)</f>
        <v>51536</v>
      </c>
      <c r="G299" s="20">
        <f>SUM(H299-F299)</f>
        <v>10464</v>
      </c>
      <c r="H299" s="42">
        <f>SUM(H291:H297)</f>
        <v>62000</v>
      </c>
      <c r="I299" s="42"/>
      <c r="J299" s="42">
        <f t="shared" ref="J299:P299" si="84">SUM(J291:J298)</f>
        <v>61000</v>
      </c>
      <c r="K299" s="42">
        <f t="shared" si="84"/>
        <v>9190.24</v>
      </c>
      <c r="L299" s="42">
        <f t="shared" si="84"/>
        <v>18944.75</v>
      </c>
      <c r="M299" s="42">
        <f t="shared" si="84"/>
        <v>72500</v>
      </c>
      <c r="N299" s="42">
        <f t="shared" si="84"/>
        <v>11000</v>
      </c>
      <c r="O299" s="42">
        <f t="shared" si="84"/>
        <v>4518</v>
      </c>
      <c r="P299" s="42">
        <f t="shared" si="84"/>
        <v>8500</v>
      </c>
      <c r="Q299" s="43">
        <f t="shared" si="81"/>
        <v>-1500</v>
      </c>
      <c r="R299" s="42">
        <f t="shared" ref="R299" si="85">SUM(R291:R298)</f>
        <v>7000</v>
      </c>
      <c r="S299" s="43">
        <f t="shared" si="81"/>
        <v>-4000</v>
      </c>
      <c r="T299" s="44">
        <f t="shared" ref="T299" si="86">SUM(T291:T298)</f>
        <v>3000</v>
      </c>
    </row>
    <row r="300" spans="1:20">
      <c r="A300" s="16"/>
      <c r="B300" s="17"/>
      <c r="C300" s="17"/>
      <c r="D300" s="17"/>
      <c r="E300" s="18"/>
      <c r="F300" s="19"/>
      <c r="G300" s="20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22"/>
    </row>
    <row r="301" spans="1:20" hidden="1">
      <c r="A301" s="10" t="s">
        <v>290</v>
      </c>
      <c r="B301" s="17"/>
      <c r="C301" s="17"/>
      <c r="D301" s="17"/>
      <c r="E301" s="18"/>
      <c r="F301" s="19"/>
      <c r="G301" s="20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22"/>
    </row>
    <row r="302" spans="1:20" hidden="1">
      <c r="A302" s="16" t="s">
        <v>291</v>
      </c>
      <c r="B302" s="18">
        <v>70000</v>
      </c>
      <c r="C302" s="18"/>
      <c r="D302" s="18"/>
      <c r="E302" s="18">
        <v>0</v>
      </c>
      <c r="F302" s="23"/>
      <c r="G302" s="20">
        <f t="shared" ref="G302:G304" si="87">SUM(H302-F302)</f>
        <v>0</v>
      </c>
      <c r="H302" s="13">
        <v>0</v>
      </c>
      <c r="I302" s="13"/>
      <c r="J302" s="13">
        <v>0</v>
      </c>
      <c r="K302" s="13"/>
      <c r="L302" s="13"/>
      <c r="M302" s="13">
        <v>0</v>
      </c>
      <c r="N302" s="13">
        <v>0</v>
      </c>
      <c r="O302" s="13">
        <v>0</v>
      </c>
      <c r="P302" s="13">
        <v>0</v>
      </c>
      <c r="Q302" s="13">
        <f>SUM(R302-P302)</f>
        <v>0</v>
      </c>
      <c r="R302" s="13">
        <v>0</v>
      </c>
      <c r="S302" s="13">
        <f>SUM(T302-R302)</f>
        <v>0</v>
      </c>
      <c r="T302" s="22">
        <v>0</v>
      </c>
    </row>
    <row r="303" spans="1:20" hidden="1">
      <c r="A303" s="16" t="s">
        <v>292</v>
      </c>
      <c r="B303" s="18">
        <v>1190</v>
      </c>
      <c r="C303" s="18"/>
      <c r="D303" s="18"/>
      <c r="E303" s="18">
        <v>0</v>
      </c>
      <c r="F303" s="23"/>
      <c r="G303" s="20">
        <f t="shared" si="87"/>
        <v>0</v>
      </c>
      <c r="H303" s="13">
        <v>0</v>
      </c>
      <c r="I303" s="13"/>
      <c r="J303" s="13">
        <v>0</v>
      </c>
      <c r="K303" s="13"/>
      <c r="L303" s="13"/>
      <c r="M303" s="13">
        <v>0</v>
      </c>
      <c r="N303" s="13">
        <v>0</v>
      </c>
      <c r="O303" s="13">
        <v>0</v>
      </c>
      <c r="P303" s="13">
        <v>0</v>
      </c>
      <c r="Q303" s="13">
        <f>SUM(R303-P303)</f>
        <v>0</v>
      </c>
      <c r="R303" s="13">
        <v>0</v>
      </c>
      <c r="S303" s="13">
        <f>SUM(T303-R303)</f>
        <v>0</v>
      </c>
      <c r="T303" s="22">
        <v>0</v>
      </c>
    </row>
    <row r="304" spans="1:20" hidden="1">
      <c r="A304" s="10" t="s">
        <v>293</v>
      </c>
      <c r="B304" s="2">
        <f t="shared" ref="B304:H304" si="88">SUM(B302:B303)</f>
        <v>71190</v>
      </c>
      <c r="C304" s="2">
        <f t="shared" si="88"/>
        <v>0</v>
      </c>
      <c r="D304" s="2">
        <f t="shared" si="88"/>
        <v>0</v>
      </c>
      <c r="E304" s="2">
        <f>SUM(E302:E303)</f>
        <v>0</v>
      </c>
      <c r="F304" s="97"/>
      <c r="G304" s="20">
        <f t="shared" si="87"/>
        <v>0</v>
      </c>
      <c r="H304" s="99">
        <f t="shared" si="88"/>
        <v>0</v>
      </c>
      <c r="I304" s="99"/>
      <c r="J304" s="99">
        <f t="shared" ref="J304:P304" si="89">SUM(J302:J303)</f>
        <v>0</v>
      </c>
      <c r="K304" s="99">
        <f t="shared" si="89"/>
        <v>0</v>
      </c>
      <c r="L304" s="99">
        <f t="shared" si="89"/>
        <v>0</v>
      </c>
      <c r="M304" s="99">
        <f t="shared" si="89"/>
        <v>0</v>
      </c>
      <c r="N304" s="99">
        <f t="shared" si="89"/>
        <v>0</v>
      </c>
      <c r="O304" s="99">
        <v>0</v>
      </c>
      <c r="P304" s="99">
        <f t="shared" si="89"/>
        <v>0</v>
      </c>
      <c r="Q304" s="13"/>
      <c r="R304" s="99">
        <f t="shared" ref="R304" si="90">SUM(R302:R303)</f>
        <v>0</v>
      </c>
      <c r="S304" s="13">
        <v>0</v>
      </c>
      <c r="T304" s="100">
        <f t="shared" ref="T304" si="91">SUM(T302:T303)</f>
        <v>0</v>
      </c>
    </row>
    <row r="305" spans="1:20" hidden="1">
      <c r="A305" s="16"/>
      <c r="B305" s="17"/>
      <c r="C305" s="17"/>
      <c r="D305" s="17"/>
      <c r="E305" s="18"/>
      <c r="F305" s="19"/>
      <c r="G305" s="20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22"/>
    </row>
    <row r="306" spans="1:20" ht="25.5">
      <c r="A306" s="10" t="s">
        <v>294</v>
      </c>
      <c r="B306" s="2">
        <v>0</v>
      </c>
      <c r="C306" s="2"/>
      <c r="D306" s="2">
        <v>0</v>
      </c>
      <c r="E306" s="2">
        <v>283000</v>
      </c>
      <c r="F306" s="97">
        <v>210762</v>
      </c>
      <c r="G306" s="20">
        <f>SUM(H306-F306)</f>
        <v>789238</v>
      </c>
      <c r="H306" s="99">
        <v>1000000</v>
      </c>
      <c r="I306" s="99"/>
      <c r="J306" s="99">
        <v>1000000</v>
      </c>
      <c r="K306" s="99"/>
      <c r="L306" s="99">
        <v>0</v>
      </c>
      <c r="M306" s="99">
        <v>500000</v>
      </c>
      <c r="N306" s="99">
        <v>500000</v>
      </c>
      <c r="O306" s="99">
        <v>0</v>
      </c>
      <c r="P306" s="99">
        <v>23000</v>
      </c>
      <c r="Q306" s="13">
        <f>SUM(R306-P306)</f>
        <v>0</v>
      </c>
      <c r="R306" s="99">
        <v>23000</v>
      </c>
      <c r="S306" s="13">
        <f>SUM(T306-R306)</f>
        <v>0</v>
      </c>
      <c r="T306" s="100">
        <v>23000</v>
      </c>
    </row>
    <row r="307" spans="1:20">
      <c r="A307" s="10"/>
      <c r="B307" s="2"/>
      <c r="C307" s="2"/>
      <c r="D307" s="2"/>
      <c r="E307" s="18"/>
      <c r="F307" s="97"/>
      <c r="G307" s="20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22"/>
    </row>
    <row r="308" spans="1:20">
      <c r="A308" s="10" t="s">
        <v>295</v>
      </c>
      <c r="B308" s="2">
        <v>0</v>
      </c>
      <c r="C308" s="2"/>
      <c r="D308" s="2">
        <v>0</v>
      </c>
      <c r="E308" s="2">
        <v>50000</v>
      </c>
      <c r="F308" s="97">
        <v>13227</v>
      </c>
      <c r="G308" s="20">
        <f>SUM(H308-F308)</f>
        <v>36773</v>
      </c>
      <c r="H308" s="99">
        <v>50000</v>
      </c>
      <c r="I308" s="99"/>
      <c r="J308" s="99">
        <v>100000</v>
      </c>
      <c r="K308" s="99"/>
      <c r="L308" s="99">
        <v>0</v>
      </c>
      <c r="M308" s="99">
        <v>100000</v>
      </c>
      <c r="N308" s="99">
        <v>100000</v>
      </c>
      <c r="O308" s="99">
        <v>0</v>
      </c>
      <c r="P308" s="99">
        <v>100000</v>
      </c>
      <c r="Q308" s="13">
        <f>SUM(R308-P308)</f>
        <v>0</v>
      </c>
      <c r="R308" s="99">
        <v>100000</v>
      </c>
      <c r="S308" s="13">
        <f>SUM(T308-R308)</f>
        <v>0</v>
      </c>
      <c r="T308" s="100">
        <v>100000</v>
      </c>
    </row>
    <row r="309" spans="1:20">
      <c r="A309" s="10"/>
      <c r="B309" s="2"/>
      <c r="C309" s="2"/>
      <c r="D309" s="2"/>
      <c r="E309" s="18"/>
      <c r="F309" s="97"/>
      <c r="G309" s="20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22"/>
    </row>
    <row r="310" spans="1:20">
      <c r="A310" s="38" t="s">
        <v>296</v>
      </c>
      <c r="B310" s="39" t="e">
        <f t="shared" ref="B310:H310" si="92">SUM(B67+B288+B299+B304+B306+B308)</f>
        <v>#REF!</v>
      </c>
      <c r="C310" s="39" t="e">
        <f t="shared" si="92"/>
        <v>#REF!</v>
      </c>
      <c r="D310" s="39" t="e">
        <f t="shared" si="92"/>
        <v>#REF!</v>
      </c>
      <c r="E310" s="39" t="e">
        <f t="shared" si="92"/>
        <v>#REF!</v>
      </c>
      <c r="F310" s="42" t="e">
        <f t="shared" si="92"/>
        <v>#REF!</v>
      </c>
      <c r="G310" s="42" t="e">
        <f t="shared" si="92"/>
        <v>#REF!</v>
      </c>
      <c r="H310" s="42" t="e">
        <f t="shared" si="92"/>
        <v>#REF!</v>
      </c>
      <c r="I310" s="42"/>
      <c r="J310" s="42" t="e">
        <f t="shared" ref="J310:P310" si="93">SUM(J67+J288+J299+J304+J306+J308)</f>
        <v>#REF!</v>
      </c>
      <c r="K310" s="42">
        <f t="shared" si="93"/>
        <v>850255.1100000001</v>
      </c>
      <c r="L310" s="42">
        <f t="shared" si="93"/>
        <v>991376.10000000009</v>
      </c>
      <c r="M310" s="42">
        <f t="shared" si="93"/>
        <v>1795443.72</v>
      </c>
      <c r="N310" s="42" t="e" vm="2">
        <f t="shared" si="93"/>
        <v>#VALUE!</v>
      </c>
      <c r="O310" s="42">
        <f t="shared" si="93"/>
        <v>1012249.92</v>
      </c>
      <c r="P310" s="42">
        <f t="shared" si="93"/>
        <v>1268383</v>
      </c>
      <c r="Q310" s="43">
        <f>SUM(R310-P310)</f>
        <v>-63666</v>
      </c>
      <c r="R310" s="42">
        <f>SUM(R67+R288+R299+R304+R306+R308)</f>
        <v>1204717</v>
      </c>
      <c r="S310" s="43">
        <f>SUM(T310-R310)</f>
        <v>63468</v>
      </c>
      <c r="T310" s="44">
        <f>SUM(T67+T288+T299+T304+T306+T308)</f>
        <v>1268185</v>
      </c>
    </row>
    <row r="311" spans="1:20">
      <c r="A311" s="16"/>
      <c r="B311" s="17"/>
      <c r="C311" s="17"/>
      <c r="D311" s="17"/>
      <c r="E311" s="18"/>
      <c r="F311" s="19"/>
      <c r="G311" s="20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22"/>
    </row>
    <row r="312" spans="1:20" ht="25.5" hidden="1">
      <c r="A312" s="10" t="s">
        <v>297</v>
      </c>
      <c r="B312" s="2" t="e">
        <f>SUM(B37-B310)</f>
        <v>#REF!</v>
      </c>
      <c r="C312" s="2" t="e">
        <f>SUM(C37-C310)</f>
        <v>#REF!</v>
      </c>
      <c r="D312" s="2" t="e">
        <f>SUM(D37-D310)</f>
        <v>#REF!</v>
      </c>
      <c r="E312" s="2" t="e">
        <f>SUM(E37-E310)</f>
        <v>#REF!</v>
      </c>
      <c r="F312" s="99" t="e">
        <f>SUM(F37-F310)</f>
        <v>#REF!</v>
      </c>
      <c r="G312" s="20" t="e">
        <f>SUM(H312-F312)</f>
        <v>#REF!</v>
      </c>
      <c r="H312" s="99">
        <v>518227</v>
      </c>
      <c r="I312" s="99"/>
      <c r="J312" s="99" t="e">
        <f t="shared" ref="J312:P312" si="94">SUM(J37-J310)</f>
        <v>#REF!</v>
      </c>
      <c r="K312" s="99">
        <f t="shared" si="94"/>
        <v>1020838.5399999998</v>
      </c>
      <c r="L312" s="99">
        <f t="shared" si="94"/>
        <v>845235.97999999975</v>
      </c>
      <c r="M312" s="99">
        <f t="shared" si="94"/>
        <v>360774.28</v>
      </c>
      <c r="N312" s="99" t="e" vm="2">
        <f t="shared" si="94"/>
        <v>#VALUE!</v>
      </c>
      <c r="O312" s="99">
        <f t="shared" si="94"/>
        <v>796513.17999999982</v>
      </c>
      <c r="P312" s="99">
        <f t="shared" si="94"/>
        <v>713764</v>
      </c>
      <c r="Q312" s="13">
        <f>SUM(R312-P312)</f>
        <v>-67466</v>
      </c>
      <c r="R312" s="99">
        <f>SUM(R37-R310)</f>
        <v>646298</v>
      </c>
      <c r="S312" s="13">
        <f>SUM(T312-R312)</f>
        <v>-8081</v>
      </c>
      <c r="T312" s="100">
        <f>SUM(T37-T310)</f>
        <v>638217</v>
      </c>
    </row>
    <row r="313" spans="1:20" hidden="1">
      <c r="A313" s="16"/>
      <c r="B313" s="17"/>
      <c r="C313" s="17"/>
      <c r="D313" s="17"/>
      <c r="E313" s="18"/>
      <c r="F313" s="19"/>
      <c r="G313" s="20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22"/>
    </row>
    <row r="314" spans="1:20" ht="25.5" hidden="1">
      <c r="A314" s="10" t="s">
        <v>298</v>
      </c>
      <c r="B314" s="2">
        <f>-B6</f>
        <v>-501303.33</v>
      </c>
      <c r="C314" s="2">
        <f>-C6</f>
        <v>-485625.81</v>
      </c>
      <c r="D314" s="2"/>
      <c r="E314" s="2">
        <f>-E6</f>
        <v>-588581.68999999994</v>
      </c>
      <c r="F314" s="42">
        <f>-F6</f>
        <v>-1192093</v>
      </c>
      <c r="G314" s="20">
        <f>SUM(H314-F314)</f>
        <v>-189008</v>
      </c>
      <c r="H314" s="42">
        <f>-H6</f>
        <v>-1381101</v>
      </c>
      <c r="I314" s="42"/>
      <c r="J314" s="42">
        <f t="shared" ref="J314:P314" si="95">-J6</f>
        <v>-1381101</v>
      </c>
      <c r="K314" s="99">
        <f t="shared" si="95"/>
        <v>-902506</v>
      </c>
      <c r="L314" s="99">
        <f t="shared" si="95"/>
        <v>-845407</v>
      </c>
      <c r="M314" s="99">
        <f t="shared" si="95"/>
        <v>-815318</v>
      </c>
      <c r="N314" s="99">
        <f t="shared" si="95"/>
        <v>-859837.74</v>
      </c>
      <c r="O314" s="99">
        <f t="shared" si="95"/>
        <v>-843714</v>
      </c>
      <c r="P314" s="99">
        <f t="shared" si="95"/>
        <v>-877553</v>
      </c>
      <c r="Q314" s="13">
        <f>SUM(R314-P314)</f>
        <v>44258</v>
      </c>
      <c r="R314" s="99">
        <f>-R6</f>
        <v>-833295</v>
      </c>
      <c r="S314" s="13">
        <f>SUM(T314-R314)</f>
        <v>23813</v>
      </c>
      <c r="T314" s="100">
        <f>-T6</f>
        <v>-809482</v>
      </c>
    </row>
    <row r="315" spans="1:20" hidden="1">
      <c r="A315" s="10" t="s">
        <v>299</v>
      </c>
      <c r="B315" s="2">
        <v>470413</v>
      </c>
      <c r="C315" s="2">
        <v>419186.05</v>
      </c>
      <c r="D315" s="2">
        <v>576684.66</v>
      </c>
      <c r="E315" s="2">
        <f>+E6</f>
        <v>588581.68999999994</v>
      </c>
      <c r="F315" s="99">
        <f>+F6</f>
        <v>1192093</v>
      </c>
      <c r="G315" s="20">
        <f>SUM(H315-F315)</f>
        <v>189008</v>
      </c>
      <c r="H315" s="99">
        <f>+H6</f>
        <v>1381101</v>
      </c>
      <c r="I315" s="99"/>
      <c r="J315" s="99">
        <f t="shared" ref="J315:P315" si="96">+J6</f>
        <v>1381101</v>
      </c>
      <c r="K315" s="99">
        <f t="shared" si="96"/>
        <v>902506</v>
      </c>
      <c r="L315" s="99">
        <f t="shared" si="96"/>
        <v>845407</v>
      </c>
      <c r="M315" s="99">
        <f t="shared" si="96"/>
        <v>815318</v>
      </c>
      <c r="N315" s="99">
        <f t="shared" si="96"/>
        <v>859837.74</v>
      </c>
      <c r="O315" s="99">
        <f t="shared" si="96"/>
        <v>843714</v>
      </c>
      <c r="P315" s="99">
        <f t="shared" si="96"/>
        <v>877553</v>
      </c>
      <c r="Q315" s="13">
        <f>SUM(R315-P315)</f>
        <v>-44258</v>
      </c>
      <c r="R315" s="99">
        <f>+R6</f>
        <v>833295</v>
      </c>
      <c r="S315" s="13">
        <f>SUM(T315-R315)</f>
        <v>-23813</v>
      </c>
      <c r="T315" s="100">
        <f>+T6</f>
        <v>809482</v>
      </c>
    </row>
    <row r="316" spans="1:20">
      <c r="A316" s="38" t="s">
        <v>300</v>
      </c>
      <c r="B316" s="39" t="e">
        <f>SUM(B312:B315)</f>
        <v>#REF!</v>
      </c>
      <c r="C316" s="39" t="e">
        <f>SUM(C312:C315)</f>
        <v>#REF!</v>
      </c>
      <c r="D316" s="39" t="e">
        <f>SUM(D312:D315)</f>
        <v>#REF!</v>
      </c>
      <c r="E316" s="39" t="e">
        <f>SUM(E312+E314+E315)</f>
        <v>#REF!</v>
      </c>
      <c r="F316" s="42" t="e">
        <f>SUM(F312+F314+F315)</f>
        <v>#REF!</v>
      </c>
      <c r="G316" s="61" t="e">
        <f>SUM(G312++G314+G315)</f>
        <v>#REF!</v>
      </c>
      <c r="H316" s="42">
        <f>SUM(H312+H314+H315)</f>
        <v>518227</v>
      </c>
      <c r="I316" s="42"/>
      <c r="J316" s="42" t="e">
        <f>SUM(J312+J314+J315)</f>
        <v>#REF!</v>
      </c>
      <c r="K316" s="42">
        <f t="shared" ref="K316:O316" si="97">SUM(K312+K314+K315)</f>
        <v>1020838.5399999998</v>
      </c>
      <c r="L316" s="42">
        <f t="shared" si="97"/>
        <v>845235.97999999975</v>
      </c>
      <c r="M316" s="42">
        <f t="shared" si="97"/>
        <v>360774.28</v>
      </c>
      <c r="N316" s="42" t="e" vm="2">
        <f>SUM(N312+N314+N315)</f>
        <v>#VALUE!</v>
      </c>
      <c r="O316" s="42">
        <f t="shared" si="97"/>
        <v>796513.17999999982</v>
      </c>
      <c r="P316" s="42">
        <f>SUM(P312+P314+P315)</f>
        <v>713764</v>
      </c>
      <c r="Q316" s="43">
        <f>SUM(R316-P316)</f>
        <v>-67466</v>
      </c>
      <c r="R316" s="42">
        <f t="shared" ref="R316" si="98">SUM(R312+R314+R315)</f>
        <v>646298</v>
      </c>
      <c r="S316" s="43">
        <f>SUM(T316-R316)</f>
        <v>-8081</v>
      </c>
      <c r="T316" s="44">
        <f t="shared" ref="T316" si="99">SUM(T312+T314+T315)</f>
        <v>638217</v>
      </c>
    </row>
    <row r="317" spans="1:20">
      <c r="A317" s="16"/>
      <c r="B317" s="17"/>
      <c r="C317" s="17"/>
      <c r="D317" s="17"/>
      <c r="E317" s="18"/>
      <c r="F317" s="19"/>
      <c r="G317" s="20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22"/>
    </row>
    <row r="318" spans="1:20">
      <c r="A318" s="10" t="s">
        <v>301</v>
      </c>
      <c r="B318" s="2" t="e">
        <f>SUM(B312-SUM(B6))</f>
        <v>#REF!</v>
      </c>
      <c r="C318" s="2" t="e">
        <f>SUM(C312-SUM(C6))</f>
        <v>#REF!</v>
      </c>
      <c r="D318" s="2" t="e">
        <f>SUM(D312-SUM(D6))</f>
        <v>#REF!</v>
      </c>
      <c r="E318" s="2" t="e">
        <f>SUM(E312-SUM(E6))</f>
        <v>#REF!</v>
      </c>
      <c r="F318" s="99" t="e">
        <f>SUM(F312-SUM(F6))</f>
        <v>#REF!</v>
      </c>
      <c r="G318" s="121"/>
      <c r="H318" s="99">
        <f>SUM(H312-SUM(H6))</f>
        <v>-862874</v>
      </c>
      <c r="I318" s="99"/>
      <c r="J318" s="99" t="e">
        <f t="shared" ref="J318:P318" si="100">SUM(J312-SUM(J6))</f>
        <v>#REF!</v>
      </c>
      <c r="K318" s="99">
        <f t="shared" si="100"/>
        <v>118332.5399999998</v>
      </c>
      <c r="L318" s="99">
        <f t="shared" si="100"/>
        <v>-171.02000000025146</v>
      </c>
      <c r="M318" s="99">
        <f t="shared" si="100"/>
        <v>-454543.72</v>
      </c>
      <c r="N318" s="99" t="e" vm="2">
        <f t="shared" si="100"/>
        <v>#VALUE!</v>
      </c>
      <c r="O318" s="99">
        <f t="shared" si="100"/>
        <v>-47200.820000000182</v>
      </c>
      <c r="P318" s="99">
        <f t="shared" si="100"/>
        <v>-163789</v>
      </c>
      <c r="Q318" s="13">
        <f t="shared" ref="Q318:S328" si="101">SUM(R318-P318)</f>
        <v>-23208</v>
      </c>
      <c r="R318" s="99">
        <f>SUM(R312-SUM(R6))</f>
        <v>-186997</v>
      </c>
      <c r="S318" s="13">
        <f t="shared" si="101"/>
        <v>15732</v>
      </c>
      <c r="T318" s="100">
        <f>SUM(T312-SUM(T6))</f>
        <v>-171265</v>
      </c>
    </row>
    <row r="319" spans="1:20" ht="25.5">
      <c r="A319" s="16" t="s">
        <v>302</v>
      </c>
      <c r="B319" s="17"/>
      <c r="C319" s="17"/>
      <c r="D319" s="17"/>
      <c r="E319" s="18"/>
      <c r="F319" s="19"/>
      <c r="G319" s="20"/>
      <c r="H319" s="13"/>
      <c r="I319" s="13"/>
      <c r="J319" s="13">
        <v>-14000</v>
      </c>
      <c r="K319" s="13"/>
      <c r="L319" s="13"/>
      <c r="M319" s="13">
        <v>-8175</v>
      </c>
      <c r="N319" s="13">
        <v>-9200</v>
      </c>
      <c r="O319" s="13"/>
      <c r="P319" s="13">
        <v>-9200</v>
      </c>
      <c r="Q319" s="13">
        <f t="shared" si="101"/>
        <v>-15800</v>
      </c>
      <c r="R319" s="13">
        <v>-25000</v>
      </c>
      <c r="S319" s="13">
        <f t="shared" si="101"/>
        <v>3657</v>
      </c>
      <c r="T319" s="22">
        <v>-21343</v>
      </c>
    </row>
    <row r="320" spans="1:20" hidden="1">
      <c r="A320" s="33" t="s">
        <v>303</v>
      </c>
      <c r="B320" s="17"/>
      <c r="C320" s="17"/>
      <c r="D320" s="17"/>
      <c r="E320" s="18"/>
      <c r="F320" s="19"/>
      <c r="G320" s="20"/>
      <c r="H320" s="13" t="e">
        <f>-#REF!</f>
        <v>#REF!</v>
      </c>
      <c r="I320" s="13"/>
      <c r="J320" s="13" t="e">
        <f>-#REF!</f>
        <v>#REF!</v>
      </c>
      <c r="K320" s="43"/>
      <c r="L320" s="13" t="e">
        <f>-#REF!</f>
        <v>#REF!</v>
      </c>
      <c r="M320" s="13" t="e">
        <f>-#REF!</f>
        <v>#REF!</v>
      </c>
      <c r="N320" s="13" t="e">
        <f>-#REF!</f>
        <v>#REF!</v>
      </c>
      <c r="O320" s="13"/>
      <c r="P320" s="13" t="e">
        <f>-#REF!</f>
        <v>#REF!</v>
      </c>
      <c r="Q320" s="13" t="e">
        <f t="shared" si="101"/>
        <v>#REF!</v>
      </c>
      <c r="R320" s="13" t="e">
        <f>-#REF!</f>
        <v>#REF!</v>
      </c>
      <c r="S320" s="13" t="e">
        <f t="shared" si="101"/>
        <v>#REF!</v>
      </c>
      <c r="T320" s="22" t="e">
        <f>-#REF!</f>
        <v>#REF!</v>
      </c>
    </row>
    <row r="321" spans="1:20" hidden="1">
      <c r="A321" s="16" t="s">
        <v>304</v>
      </c>
      <c r="B321" s="17"/>
      <c r="C321" s="17"/>
      <c r="D321" s="17"/>
      <c r="E321" s="18"/>
      <c r="F321" s="19"/>
      <c r="G321" s="20"/>
      <c r="H321" s="122">
        <f>-H162-H56</f>
        <v>-14166</v>
      </c>
      <c r="I321" s="123"/>
      <c r="J321" s="123">
        <v>0</v>
      </c>
      <c r="K321" s="13">
        <f t="shared" ref="K321:P321" si="102">-K162-K56</f>
        <v>-18944.169999999998</v>
      </c>
      <c r="L321" s="13">
        <f t="shared" si="102"/>
        <v>-21475.67</v>
      </c>
      <c r="M321" s="13">
        <f t="shared" si="102"/>
        <v>-20504.400000000001</v>
      </c>
      <c r="N321" s="13">
        <f t="shared" si="102"/>
        <v>-19364</v>
      </c>
      <c r="O321" s="13">
        <f t="shared" si="102"/>
        <v>-9593.27</v>
      </c>
      <c r="P321" s="13">
        <f t="shared" si="102"/>
        <v>-10485</v>
      </c>
      <c r="Q321" s="13">
        <f t="shared" si="101"/>
        <v>10485</v>
      </c>
      <c r="R321" s="13">
        <f>-R162-R56</f>
        <v>0</v>
      </c>
      <c r="S321" s="13">
        <f t="shared" si="101"/>
        <v>0</v>
      </c>
      <c r="T321" s="22">
        <f>-T162-T56</f>
        <v>0</v>
      </c>
    </row>
    <row r="322" spans="1:20" ht="25.5">
      <c r="A322" s="16" t="s">
        <v>305</v>
      </c>
      <c r="B322" s="17"/>
      <c r="C322" s="17"/>
      <c r="D322" s="17"/>
      <c r="E322" s="18">
        <f>-E306</f>
        <v>-283000</v>
      </c>
      <c r="F322" s="19"/>
      <c r="G322" s="20"/>
      <c r="H322" s="13">
        <f>-H306</f>
        <v>-1000000</v>
      </c>
      <c r="I322" s="13"/>
      <c r="J322" s="13">
        <f>-J306</f>
        <v>-1000000</v>
      </c>
      <c r="K322" s="13">
        <f>-K306</f>
        <v>0</v>
      </c>
      <c r="L322" s="13">
        <f>-L306</f>
        <v>0</v>
      </c>
      <c r="M322" s="13">
        <f>-M306</f>
        <v>-500000</v>
      </c>
      <c r="N322" s="13">
        <f>-N306</f>
        <v>-500000</v>
      </c>
      <c r="O322" s="13">
        <v>0</v>
      </c>
      <c r="P322" s="13">
        <f>-P306</f>
        <v>-23000</v>
      </c>
      <c r="Q322" s="13">
        <f t="shared" si="101"/>
        <v>0</v>
      </c>
      <c r="R322" s="13">
        <f>-R306</f>
        <v>-23000</v>
      </c>
      <c r="S322" s="13">
        <f t="shared" si="101"/>
        <v>0</v>
      </c>
      <c r="T322" s="22">
        <f>-T306</f>
        <v>-23000</v>
      </c>
    </row>
    <row r="323" spans="1:20">
      <c r="A323" s="16" t="s">
        <v>306</v>
      </c>
      <c r="B323" s="17"/>
      <c r="C323" s="17"/>
      <c r="D323" s="17"/>
      <c r="E323" s="18">
        <f>-E308</f>
        <v>-50000</v>
      </c>
      <c r="F323" s="19"/>
      <c r="G323" s="20"/>
      <c r="H323" s="13">
        <f>-H308</f>
        <v>-50000</v>
      </c>
      <c r="I323" s="13"/>
      <c r="J323" s="13">
        <f>-J308</f>
        <v>-100000</v>
      </c>
      <c r="K323" s="13">
        <f>-K308</f>
        <v>0</v>
      </c>
      <c r="L323" s="13">
        <f>-L308</f>
        <v>0</v>
      </c>
      <c r="M323" s="13">
        <f>-M308</f>
        <v>-100000</v>
      </c>
      <c r="N323" s="13">
        <f>-N308</f>
        <v>-100000</v>
      </c>
      <c r="O323" s="13">
        <v>0</v>
      </c>
      <c r="P323" s="13">
        <f>-P308</f>
        <v>-100000</v>
      </c>
      <c r="Q323" s="13">
        <f t="shared" si="101"/>
        <v>0</v>
      </c>
      <c r="R323" s="13">
        <f>-R308</f>
        <v>-100000</v>
      </c>
      <c r="S323" s="13">
        <f t="shared" si="101"/>
        <v>0</v>
      </c>
      <c r="T323" s="22">
        <f>-T308</f>
        <v>-100000</v>
      </c>
    </row>
    <row r="324" spans="1:20" ht="25.5">
      <c r="A324" s="16" t="s">
        <v>307</v>
      </c>
      <c r="B324" s="17"/>
      <c r="C324" s="17"/>
      <c r="D324" s="17"/>
      <c r="E324" s="18">
        <f>+E36</f>
        <v>283000</v>
      </c>
      <c r="F324" s="19"/>
      <c r="G324" s="20"/>
      <c r="H324" s="13">
        <f>+H36</f>
        <v>283000</v>
      </c>
      <c r="I324" s="13"/>
      <c r="J324" s="13">
        <f>+J36</f>
        <v>283000</v>
      </c>
      <c r="K324" s="13">
        <f>+K36</f>
        <v>0</v>
      </c>
      <c r="L324" s="13">
        <f>+L36</f>
        <v>3174.94</v>
      </c>
      <c r="M324" s="13">
        <f>+M36</f>
        <v>283000</v>
      </c>
      <c r="N324" s="13">
        <f>+N36</f>
        <v>283000</v>
      </c>
      <c r="O324" s="13">
        <v>0</v>
      </c>
      <c r="P324" s="13">
        <v>11000</v>
      </c>
      <c r="Q324" s="13">
        <f t="shared" si="101"/>
        <v>0</v>
      </c>
      <c r="R324" s="13">
        <v>11000</v>
      </c>
      <c r="S324" s="13">
        <f t="shared" si="101"/>
        <v>-3000</v>
      </c>
      <c r="T324" s="22">
        <v>8000</v>
      </c>
    </row>
    <row r="325" spans="1:20" ht="25.5" hidden="1">
      <c r="A325" s="16" t="s">
        <v>308</v>
      </c>
      <c r="B325" s="17"/>
      <c r="C325" s="17"/>
      <c r="D325" s="17"/>
      <c r="E325" s="18"/>
      <c r="F325" s="19"/>
      <c r="G325" s="20"/>
      <c r="H325" s="13"/>
      <c r="I325" s="13"/>
      <c r="J325" s="13"/>
      <c r="K325" s="13">
        <v>0</v>
      </c>
      <c r="L325" s="13">
        <v>0</v>
      </c>
      <c r="M325" s="13">
        <v>0</v>
      </c>
      <c r="N325" s="13">
        <v>-200000</v>
      </c>
      <c r="O325" s="13">
        <v>0</v>
      </c>
      <c r="P325" s="13">
        <v>0</v>
      </c>
      <c r="Q325" s="13">
        <f t="shared" si="101"/>
        <v>0</v>
      </c>
      <c r="R325" s="13">
        <v>0</v>
      </c>
      <c r="S325" s="13">
        <f t="shared" si="101"/>
        <v>0</v>
      </c>
      <c r="T325" s="22">
        <v>0</v>
      </c>
    </row>
    <row r="326" spans="1:20" hidden="1">
      <c r="A326" s="16" t="s">
        <v>309</v>
      </c>
      <c r="B326" s="17"/>
      <c r="C326" s="17"/>
      <c r="D326" s="17"/>
      <c r="E326" s="18">
        <f>-E46</f>
        <v>-5575</v>
      </c>
      <c r="F326" s="19"/>
      <c r="G326" s="20"/>
      <c r="H326" s="13">
        <f>-H46</f>
        <v>-5575</v>
      </c>
      <c r="I326" s="13"/>
      <c r="J326" s="13">
        <f>(0-J46)</f>
        <v>-5575</v>
      </c>
      <c r="K326" s="13">
        <f>(0-K46)</f>
        <v>-1502.2</v>
      </c>
      <c r="L326" s="13">
        <f>(0-L46)</f>
        <v>-1923.25</v>
      </c>
      <c r="M326" s="13">
        <f>(0-M46)</f>
        <v>-5575</v>
      </c>
      <c r="N326" s="13">
        <f>(0-N46)</f>
        <v>-5575</v>
      </c>
      <c r="O326" s="13"/>
      <c r="P326" s="13">
        <v>0</v>
      </c>
      <c r="Q326" s="13">
        <f t="shared" si="101"/>
        <v>-2500</v>
      </c>
      <c r="R326" s="13">
        <f>(0-R46)</f>
        <v>-2500</v>
      </c>
      <c r="S326" s="13">
        <f t="shared" si="101"/>
        <v>2500</v>
      </c>
      <c r="T326" s="22">
        <v>0</v>
      </c>
    </row>
    <row r="327" spans="1:20" ht="30.75" customHeight="1">
      <c r="A327" s="139" t="s">
        <v>310</v>
      </c>
      <c r="B327" s="140"/>
      <c r="C327" s="140"/>
      <c r="D327" s="140"/>
      <c r="E327" s="141" t="e">
        <f>SUM(E318-SUM(E322:E326))</f>
        <v>#REF!</v>
      </c>
      <c r="F327" s="142"/>
      <c r="G327" s="143" t="e">
        <f>SUM(H327-F327)</f>
        <v>#REF!</v>
      </c>
      <c r="H327" s="152" t="e">
        <f>SUM(H318-SUM(H320:H326))</f>
        <v>#REF!</v>
      </c>
      <c r="I327" s="152"/>
      <c r="J327" s="152" t="e">
        <f>ROUND(SUM(J318-SUM(J319:J326)),0)</f>
        <v>#REF!</v>
      </c>
      <c r="K327" s="152">
        <f>ROUND(SUM(K318-SUM(K319:K326)),0)</f>
        <v>138779</v>
      </c>
      <c r="L327" s="152">
        <v>20053</v>
      </c>
      <c r="M327" s="152" t="e">
        <f>ROUND(SUM(M318-SUM(M319:M326)),0)</f>
        <v>#REF!</v>
      </c>
      <c r="N327" s="152" t="e" vm="2">
        <f>ROUND(SUM(N318-SUM(N319:N326)),0)</f>
        <v>#VALUE!</v>
      </c>
      <c r="O327" s="152">
        <f>ROUND(SUM(O318-SUM(O319:O326)),0)</f>
        <v>-37608</v>
      </c>
      <c r="P327" s="152" t="e">
        <f>ROUND(SUM(P318-SUM(P319:P326)),0)</f>
        <v>#REF!</v>
      </c>
      <c r="Q327" s="152" t="e">
        <f t="shared" si="101"/>
        <v>#REF!</v>
      </c>
      <c r="R327" s="152">
        <v>-47797</v>
      </c>
      <c r="S327" s="152">
        <f t="shared" si="101"/>
        <v>12875</v>
      </c>
      <c r="T327" s="153">
        <v>-34922</v>
      </c>
    </row>
    <row r="328" spans="1:20">
      <c r="A328" s="145" t="s">
        <v>311</v>
      </c>
      <c r="B328" s="146"/>
      <c r="C328" s="146"/>
      <c r="D328" s="146"/>
      <c r="E328" s="147" t="e">
        <f>SUM(E320:E327)</f>
        <v>#REF!</v>
      </c>
      <c r="F328" s="148"/>
      <c r="G328" s="149"/>
      <c r="H328" s="150" t="e">
        <f>SUM(H320:H327)</f>
        <v>#REF!</v>
      </c>
      <c r="I328" s="150"/>
      <c r="J328" s="150" t="e">
        <f>SUM(J319:J327)</f>
        <v>#REF!</v>
      </c>
      <c r="K328" s="150">
        <f t="shared" ref="K328:O328" si="103">SUM(K319:K327)</f>
        <v>118332.63</v>
      </c>
      <c r="L328" s="150">
        <v>-170.98</v>
      </c>
      <c r="M328" s="150" t="e">
        <f t="shared" si="103"/>
        <v>#REF!</v>
      </c>
      <c r="N328" s="150" t="e">
        <f>SUM(N319:N327)</f>
        <v>#REF!</v>
      </c>
      <c r="O328" s="150">
        <f t="shared" si="103"/>
        <v>-47201.270000000004</v>
      </c>
      <c r="P328" s="150" t="e">
        <f>SUM(P319:P327)</f>
        <v>#REF!</v>
      </c>
      <c r="Q328" s="150" t="e">
        <f t="shared" si="101"/>
        <v>#REF!</v>
      </c>
      <c r="R328" s="150">
        <f>SUM(R315,R327)</f>
        <v>785498</v>
      </c>
      <c r="S328" s="150">
        <f t="shared" si="101"/>
        <v>-10938</v>
      </c>
      <c r="T328" s="151">
        <f>SUM(T315,T327)</f>
        <v>774560</v>
      </c>
    </row>
    <row r="329" spans="1:20">
      <c r="A329" s="132"/>
      <c r="B329" s="133"/>
      <c r="C329" s="133"/>
      <c r="D329" s="133"/>
      <c r="E329" s="134"/>
      <c r="F329" s="135"/>
      <c r="G329" s="136"/>
      <c r="H329" s="137"/>
      <c r="I329" s="137"/>
      <c r="J329" s="137"/>
      <c r="K329" s="137"/>
      <c r="L329" s="137"/>
      <c r="M329" s="137"/>
      <c r="N329" s="137"/>
      <c r="O329" s="137"/>
      <c r="P329" s="137"/>
      <c r="Q329" s="137"/>
      <c r="R329" s="137"/>
      <c r="S329" s="137"/>
      <c r="T329" s="138"/>
    </row>
    <row r="330" spans="1:20">
      <c r="A330" s="132"/>
      <c r="B330" s="133"/>
      <c r="C330" s="133"/>
      <c r="D330" s="133"/>
      <c r="E330" s="134"/>
      <c r="F330" s="135"/>
      <c r="G330" s="136"/>
      <c r="H330" s="137"/>
      <c r="I330" s="137"/>
      <c r="J330" s="137"/>
      <c r="K330" s="137"/>
      <c r="L330" s="137"/>
      <c r="M330" s="137"/>
      <c r="N330" s="137"/>
      <c r="O330" s="137"/>
      <c r="P330" s="137"/>
      <c r="Q330" s="137"/>
      <c r="R330" s="137"/>
      <c r="S330" s="137"/>
      <c r="T330" s="138"/>
    </row>
    <row r="331" spans="1:20">
      <c r="A331" s="132"/>
      <c r="B331" s="133"/>
      <c r="C331" s="133"/>
      <c r="D331" s="133"/>
      <c r="E331" s="134"/>
      <c r="F331" s="135"/>
      <c r="G331" s="136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8"/>
    </row>
    <row r="332" spans="1:20">
      <c r="A332" s="132"/>
      <c r="B332" s="133"/>
      <c r="C332" s="133"/>
      <c r="D332" s="133"/>
      <c r="E332" s="134"/>
      <c r="F332" s="135"/>
      <c r="G332" s="136"/>
      <c r="H332" s="137"/>
      <c r="I332" s="137"/>
      <c r="J332" s="137"/>
      <c r="K332" s="137"/>
      <c r="L332" s="137"/>
      <c r="M332" s="137"/>
      <c r="N332" s="137"/>
      <c r="O332" s="137"/>
      <c r="P332" s="137"/>
      <c r="Q332" s="137"/>
      <c r="R332" s="137"/>
      <c r="S332" s="137"/>
      <c r="T332" s="138"/>
    </row>
    <row r="333" spans="1:20" ht="38.25">
      <c r="A333" s="157" t="s">
        <v>312</v>
      </c>
      <c r="B333" s="146"/>
      <c r="C333" s="146"/>
      <c r="D333" s="146"/>
      <c r="E333" s="147"/>
      <c r="F333" s="148"/>
      <c r="G333" s="149"/>
      <c r="H333" s="150"/>
      <c r="I333" s="150"/>
      <c r="J333" s="150"/>
      <c r="K333" s="150"/>
      <c r="L333" s="158" t="s">
        <v>1</v>
      </c>
      <c r="M333" s="158" t="s">
        <v>2</v>
      </c>
      <c r="N333" s="158" t="s">
        <v>2</v>
      </c>
      <c r="O333" s="158" t="s">
        <v>1</v>
      </c>
      <c r="P333" s="159" t="s">
        <v>5</v>
      </c>
      <c r="Q333" s="8" t="s">
        <v>6</v>
      </c>
      <c r="R333" s="8" t="s">
        <v>7</v>
      </c>
      <c r="S333" s="8" t="s">
        <v>6</v>
      </c>
      <c r="T333" s="160" t="s">
        <v>7</v>
      </c>
    </row>
    <row r="334" spans="1:20">
      <c r="A334" s="161"/>
      <c r="B334" s="162" t="s">
        <v>9</v>
      </c>
      <c r="C334" s="154" t="s">
        <v>10</v>
      </c>
      <c r="D334" s="154" t="s">
        <v>11</v>
      </c>
      <c r="E334" s="154" t="s">
        <v>12</v>
      </c>
      <c r="F334" s="163">
        <v>44742</v>
      </c>
      <c r="G334" s="164" t="s">
        <v>2</v>
      </c>
      <c r="H334" s="154" t="s">
        <v>13</v>
      </c>
      <c r="I334" s="165">
        <v>45107</v>
      </c>
      <c r="J334" s="154" t="s">
        <v>14</v>
      </c>
      <c r="K334" s="154" t="s">
        <v>15</v>
      </c>
      <c r="L334" s="154" t="s">
        <v>15</v>
      </c>
      <c r="M334" s="155" t="s">
        <v>16</v>
      </c>
      <c r="N334" s="155" t="s">
        <v>16</v>
      </c>
      <c r="O334" s="155" t="s">
        <v>16</v>
      </c>
      <c r="P334" s="166" t="s">
        <v>16</v>
      </c>
      <c r="Q334" s="155" t="s">
        <v>17</v>
      </c>
      <c r="R334" s="155" t="s">
        <v>17</v>
      </c>
      <c r="S334" s="155"/>
      <c r="T334" s="156" t="s">
        <v>18</v>
      </c>
    </row>
    <row r="335" spans="1:20">
      <c r="A335" s="16"/>
      <c r="B335" s="17"/>
      <c r="C335" s="17"/>
      <c r="D335" s="17"/>
      <c r="E335" s="18"/>
      <c r="F335" s="19"/>
      <c r="G335" s="20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22"/>
    </row>
    <row r="336" spans="1:20">
      <c r="A336" s="10" t="s">
        <v>19</v>
      </c>
      <c r="B336" s="17"/>
      <c r="C336" s="17"/>
      <c r="D336" s="17"/>
      <c r="E336" s="18"/>
      <c r="F336" s="19"/>
      <c r="G336" s="20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22"/>
    </row>
    <row r="337" spans="1:20">
      <c r="A337" s="125" t="s">
        <v>313</v>
      </c>
      <c r="B337" s="2"/>
      <c r="C337" s="2"/>
      <c r="D337" s="18">
        <v>20696</v>
      </c>
      <c r="E337" s="18">
        <v>283000</v>
      </c>
      <c r="F337" s="23"/>
      <c r="G337" s="20">
        <f>SUM(H337-E337)</f>
        <v>717000</v>
      </c>
      <c r="H337" s="13">
        <v>1000000</v>
      </c>
      <c r="I337" s="13"/>
      <c r="J337" s="13">
        <v>1000000</v>
      </c>
      <c r="K337" s="13"/>
      <c r="L337" s="13">
        <v>0</v>
      </c>
      <c r="M337" s="13">
        <v>500000</v>
      </c>
      <c r="N337" s="13">
        <v>500000</v>
      </c>
      <c r="O337" s="13">
        <v>0</v>
      </c>
      <c r="P337" s="13">
        <v>23000</v>
      </c>
      <c r="Q337" s="13">
        <f>SUM(R337-P337)</f>
        <v>0</v>
      </c>
      <c r="R337" s="13">
        <v>23000</v>
      </c>
      <c r="S337" s="13">
        <f>SUM(T337-R337)</f>
        <v>0</v>
      </c>
      <c r="T337" s="22">
        <v>23000</v>
      </c>
    </row>
    <row r="338" spans="1:20">
      <c r="A338" s="16" t="s">
        <v>314</v>
      </c>
      <c r="B338" s="2"/>
      <c r="C338" s="2"/>
      <c r="D338" s="18"/>
      <c r="E338" s="18">
        <v>1917</v>
      </c>
      <c r="F338" s="23">
        <v>4037</v>
      </c>
      <c r="G338" s="20"/>
      <c r="H338" s="13">
        <v>1917</v>
      </c>
      <c r="I338" s="13">
        <v>12253.78</v>
      </c>
      <c r="J338" s="13">
        <v>500</v>
      </c>
      <c r="K338" s="13">
        <v>12253.78</v>
      </c>
      <c r="L338" s="13">
        <v>14970.88</v>
      </c>
      <c r="M338" s="13">
        <v>500</v>
      </c>
      <c r="N338" s="13">
        <v>10000</v>
      </c>
      <c r="O338" s="13">
        <v>20233.04</v>
      </c>
      <c r="P338" s="13">
        <v>15000</v>
      </c>
      <c r="Q338" s="13">
        <f>SUM(R338-P338)</f>
        <v>0</v>
      </c>
      <c r="R338" s="13">
        <v>15000</v>
      </c>
      <c r="S338" s="13">
        <f>SUM(T338-R338)</f>
        <v>-3000</v>
      </c>
      <c r="T338" s="22">
        <v>12000</v>
      </c>
    </row>
    <row r="339" spans="1:20">
      <c r="A339" s="16" t="s">
        <v>315</v>
      </c>
      <c r="B339" s="18">
        <v>529</v>
      </c>
      <c r="C339" s="18">
        <v>173.71</v>
      </c>
      <c r="D339" s="18">
        <v>232.76</v>
      </c>
      <c r="E339" s="18">
        <v>0</v>
      </c>
      <c r="F339" s="23"/>
      <c r="G339" s="20"/>
      <c r="H339" s="13">
        <v>0</v>
      </c>
      <c r="I339" s="13"/>
      <c r="J339" s="13">
        <v>0</v>
      </c>
      <c r="K339" s="13"/>
      <c r="L339" s="13"/>
      <c r="M339" s="13">
        <v>0</v>
      </c>
      <c r="N339" s="13">
        <v>0</v>
      </c>
      <c r="O339" s="13">
        <v>118272.19</v>
      </c>
      <c r="P339" s="13">
        <v>113772</v>
      </c>
      <c r="Q339" s="13">
        <f>SUM(R339-P339)</f>
        <v>-113772</v>
      </c>
      <c r="R339" s="13">
        <v>0</v>
      </c>
      <c r="S339" s="13">
        <f>SUM(T339-R339)</f>
        <v>0</v>
      </c>
      <c r="T339" s="22">
        <v>0</v>
      </c>
    </row>
    <row r="340" spans="1:20">
      <c r="A340" s="16" t="s">
        <v>316</v>
      </c>
      <c r="B340" s="18">
        <v>46463.65</v>
      </c>
      <c r="C340" s="18">
        <v>37302.639999999999</v>
      </c>
      <c r="D340" s="18">
        <v>44809.06</v>
      </c>
      <c r="E340" s="18">
        <v>49200</v>
      </c>
      <c r="F340" s="23">
        <v>12470</v>
      </c>
      <c r="G340" s="20"/>
      <c r="H340" s="13">
        <v>15600</v>
      </c>
      <c r="I340" s="13">
        <v>7025.03</v>
      </c>
      <c r="J340" s="13">
        <v>8000</v>
      </c>
      <c r="K340" s="13">
        <v>6243.06</v>
      </c>
      <c r="L340" s="13">
        <v>11385.2</v>
      </c>
      <c r="M340" s="13">
        <v>8000</v>
      </c>
      <c r="N340" s="13">
        <v>0</v>
      </c>
      <c r="O340" s="13">
        <v>0</v>
      </c>
      <c r="P340" s="13">
        <v>0</v>
      </c>
      <c r="Q340" s="13">
        <f>SUM(R340-P340)</f>
        <v>0</v>
      </c>
      <c r="R340" s="13">
        <v>0</v>
      </c>
      <c r="S340" s="13">
        <f>SUM(T340-R340)</f>
        <v>0</v>
      </c>
      <c r="T340" s="22">
        <v>0</v>
      </c>
    </row>
    <row r="341" spans="1:20">
      <c r="A341" s="10" t="s">
        <v>317</v>
      </c>
      <c r="B341" s="50"/>
      <c r="C341" s="50"/>
      <c r="D341" s="18"/>
      <c r="E341" s="18"/>
      <c r="F341" s="23"/>
      <c r="G341" s="20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22"/>
    </row>
    <row r="342" spans="1:20">
      <c r="A342" s="16" t="s">
        <v>318</v>
      </c>
      <c r="B342" s="18">
        <v>6526.98</v>
      </c>
      <c r="C342" s="18">
        <v>9542.2199999999993</v>
      </c>
      <c r="D342" s="18">
        <v>11333.61</v>
      </c>
      <c r="E342" s="18">
        <v>0</v>
      </c>
      <c r="F342" s="23"/>
      <c r="G342" s="20">
        <f>SUM(H342-E342)</f>
        <v>0</v>
      </c>
      <c r="H342" s="13">
        <v>0</v>
      </c>
      <c r="I342" s="13"/>
      <c r="J342" s="13">
        <v>0</v>
      </c>
      <c r="K342" s="13"/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f>SUM(R342-P342)</f>
        <v>0</v>
      </c>
      <c r="R342" s="13">
        <v>0</v>
      </c>
      <c r="S342" s="13">
        <f>SUM(T342-R342)</f>
        <v>0</v>
      </c>
      <c r="T342" s="22">
        <v>0</v>
      </c>
    </row>
    <row r="343" spans="1:20">
      <c r="A343" s="10" t="s">
        <v>319</v>
      </c>
      <c r="B343" s="2">
        <f t="shared" ref="B343:H343" si="104">SUM(B337:B342)</f>
        <v>53519.630000000005</v>
      </c>
      <c r="C343" s="2">
        <f t="shared" si="104"/>
        <v>47018.57</v>
      </c>
      <c r="D343" s="2">
        <f t="shared" si="104"/>
        <v>77071.429999999993</v>
      </c>
      <c r="E343" s="2">
        <f>SUM(E337:E342)</f>
        <v>334117</v>
      </c>
      <c r="F343" s="99">
        <f t="shared" si="104"/>
        <v>16507</v>
      </c>
      <c r="G343" s="99">
        <f t="shared" si="104"/>
        <v>717000</v>
      </c>
      <c r="H343" s="99">
        <f t="shared" si="104"/>
        <v>1017517</v>
      </c>
      <c r="I343" s="99"/>
      <c r="J343" s="99">
        <f t="shared" ref="J343:M343" si="105">SUM(J337:J342)</f>
        <v>1008500</v>
      </c>
      <c r="K343" s="99">
        <f>SUM(K337:K342)</f>
        <v>18496.84</v>
      </c>
      <c r="L343" s="99">
        <f>SUM(L337:L342)</f>
        <v>26356.080000000002</v>
      </c>
      <c r="M343" s="99">
        <f t="shared" si="105"/>
        <v>508500</v>
      </c>
      <c r="N343" s="99">
        <f>SUM(N337:N342)</f>
        <v>510000</v>
      </c>
      <c r="O343" s="99">
        <f>SUM(O337:O342)</f>
        <v>138505.23000000001</v>
      </c>
      <c r="P343" s="99">
        <f>SUM(P337:P342)</f>
        <v>151772</v>
      </c>
      <c r="Q343" s="13">
        <f>SUM(R343-P343)</f>
        <v>-113772</v>
      </c>
      <c r="R343" s="99">
        <f t="shared" ref="R343" si="106">SUM(R337:R342)</f>
        <v>38000</v>
      </c>
      <c r="S343" s="13">
        <f>SUM(T343-R343)</f>
        <v>-3000</v>
      </c>
      <c r="T343" s="100">
        <f t="shared" ref="T343" si="107">SUM(T337:T342)</f>
        <v>35000</v>
      </c>
    </row>
    <row r="344" spans="1:20">
      <c r="A344" s="10"/>
      <c r="B344" s="2"/>
      <c r="C344" s="2"/>
      <c r="D344" s="2"/>
      <c r="E344" s="2"/>
      <c r="F344" s="99"/>
      <c r="G344" s="99"/>
      <c r="H344" s="99"/>
      <c r="I344" s="99"/>
      <c r="J344" s="99"/>
      <c r="K344" s="99"/>
      <c r="L344" s="99"/>
      <c r="M344" s="99"/>
      <c r="N344" s="99"/>
      <c r="O344" s="99"/>
      <c r="P344" s="99"/>
      <c r="Q344" s="13"/>
      <c r="R344" s="99"/>
      <c r="S344" s="13"/>
      <c r="T344" s="100"/>
    </row>
    <row r="345" spans="1:20">
      <c r="A345" s="10" t="s">
        <v>320</v>
      </c>
      <c r="B345" s="17"/>
      <c r="C345" s="17"/>
      <c r="D345" s="17"/>
      <c r="E345" s="18"/>
      <c r="F345" s="19"/>
      <c r="G345" s="20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22"/>
    </row>
    <row r="346" spans="1:20">
      <c r="A346" s="10" t="s">
        <v>321</v>
      </c>
      <c r="B346" s="2"/>
      <c r="C346" s="2"/>
      <c r="D346" s="2"/>
      <c r="E346" s="2"/>
      <c r="F346" s="99"/>
      <c r="G346" s="99"/>
      <c r="H346" s="99"/>
      <c r="I346" s="99"/>
      <c r="J346" s="99"/>
      <c r="K346" s="99"/>
      <c r="L346" s="99"/>
      <c r="M346" s="99"/>
      <c r="N346" s="99"/>
      <c r="O346" s="99"/>
      <c r="P346" s="99"/>
      <c r="Q346" s="13"/>
      <c r="R346" s="99"/>
      <c r="S346" s="13"/>
      <c r="T346" s="100"/>
    </row>
    <row r="347" spans="1:20">
      <c r="A347" s="47" t="s">
        <v>322</v>
      </c>
      <c r="B347" s="48"/>
      <c r="C347" s="48"/>
      <c r="D347" s="48"/>
      <c r="E347" s="48"/>
      <c r="F347" s="49">
        <v>8765</v>
      </c>
      <c r="G347" s="20">
        <f>SUM(H347-F347)</f>
        <v>2735</v>
      </c>
      <c r="H347" s="48">
        <v>11500</v>
      </c>
      <c r="I347" s="48"/>
      <c r="J347" s="48"/>
      <c r="K347" s="48"/>
      <c r="L347" s="48"/>
      <c r="M347" s="45">
        <v>0</v>
      </c>
      <c r="N347" s="13"/>
      <c r="O347" s="13"/>
      <c r="P347" s="46"/>
      <c r="Q347" s="13"/>
      <c r="R347" s="24"/>
      <c r="S347" s="13"/>
      <c r="T347" s="126">
        <v>0</v>
      </c>
    </row>
    <row r="348" spans="1:20">
      <c r="A348" s="47" t="s">
        <v>323</v>
      </c>
      <c r="B348" s="48"/>
      <c r="C348" s="48"/>
      <c r="D348" s="48"/>
      <c r="E348" s="48"/>
      <c r="F348" s="49"/>
      <c r="G348" s="20"/>
      <c r="H348" s="48"/>
      <c r="I348" s="48"/>
      <c r="J348" s="48"/>
      <c r="K348" s="48"/>
      <c r="L348" s="48"/>
      <c r="M348" s="45"/>
      <c r="N348" s="13"/>
      <c r="O348" s="13"/>
      <c r="P348" s="46"/>
      <c r="Q348" s="13"/>
      <c r="R348" s="24">
        <v>27250</v>
      </c>
      <c r="S348" s="124"/>
      <c r="T348" s="127"/>
    </row>
    <row r="349" spans="1:20">
      <c r="A349" s="47" t="s">
        <v>324</v>
      </c>
      <c r="B349" s="48"/>
      <c r="C349" s="48"/>
      <c r="D349" s="48"/>
      <c r="E349" s="48"/>
      <c r="F349" s="49"/>
      <c r="G349" s="20"/>
      <c r="H349" s="48"/>
      <c r="I349" s="48"/>
      <c r="J349" s="48"/>
      <c r="K349" s="48"/>
      <c r="L349" s="48"/>
      <c r="M349" s="45"/>
      <c r="N349" s="13"/>
      <c r="O349" s="13"/>
      <c r="P349" s="46"/>
      <c r="Q349" s="13"/>
      <c r="R349" s="24">
        <v>3969.36</v>
      </c>
      <c r="S349" s="124"/>
      <c r="T349" s="127"/>
    </row>
    <row r="350" spans="1:20">
      <c r="A350" s="47" t="s">
        <v>325</v>
      </c>
      <c r="B350" s="48"/>
      <c r="C350" s="48"/>
      <c r="D350" s="48"/>
      <c r="E350" s="48"/>
      <c r="F350" s="49"/>
      <c r="G350" s="20"/>
      <c r="H350" s="48"/>
      <c r="I350" s="48"/>
      <c r="J350" s="48"/>
      <c r="K350" s="48"/>
      <c r="L350" s="48"/>
      <c r="M350" s="45"/>
      <c r="N350" s="13"/>
      <c r="O350" s="13"/>
      <c r="P350" s="46"/>
      <c r="Q350" s="13"/>
      <c r="R350" s="24">
        <v>2589</v>
      </c>
      <c r="S350" s="124"/>
      <c r="T350" s="127"/>
    </row>
    <row r="351" spans="1:20">
      <c r="A351" s="10" t="s">
        <v>326</v>
      </c>
      <c r="B351" s="2"/>
      <c r="C351" s="2"/>
      <c r="D351" s="2"/>
      <c r="E351" s="2"/>
      <c r="F351" s="99"/>
      <c r="G351" s="99"/>
      <c r="H351" s="99"/>
      <c r="I351" s="99"/>
      <c r="J351" s="99"/>
      <c r="K351" s="99"/>
      <c r="L351" s="99"/>
      <c r="M351" s="99"/>
      <c r="N351" s="99"/>
      <c r="O351" s="99"/>
      <c r="P351" s="99"/>
      <c r="Q351" s="13"/>
      <c r="R351" s="103">
        <f>SUMPRODUCT(R347:R350)</f>
        <v>33808.36</v>
      </c>
      <c r="S351" s="13">
        <f>SUM(T351-R351)</f>
        <v>-33808.36</v>
      </c>
      <c r="T351" s="103">
        <f>SUMPRODUCT(T347:T350)</f>
        <v>0</v>
      </c>
    </row>
    <row r="352" spans="1:20">
      <c r="A352" s="10"/>
      <c r="B352" s="2"/>
      <c r="C352" s="2"/>
      <c r="D352" s="2"/>
      <c r="E352" s="2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13"/>
      <c r="R352" s="103"/>
      <c r="S352" s="13"/>
      <c r="T352" s="128"/>
    </row>
    <row r="353" spans="1:20">
      <c r="A353" s="10" t="s">
        <v>327</v>
      </c>
      <c r="B353" s="17"/>
      <c r="C353" s="17"/>
      <c r="D353" s="17"/>
      <c r="E353" s="18"/>
      <c r="F353" s="19"/>
      <c r="G353" s="20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24"/>
      <c r="S353" s="13"/>
      <c r="T353" s="22"/>
    </row>
    <row r="354" spans="1:20">
      <c r="A354" s="34" t="s">
        <v>328</v>
      </c>
      <c r="B354" s="17"/>
      <c r="C354" s="17"/>
      <c r="D354" s="17"/>
      <c r="E354" s="18"/>
      <c r="F354" s="19"/>
      <c r="G354" s="20"/>
      <c r="H354" s="13"/>
      <c r="I354" s="13"/>
      <c r="J354" s="13"/>
      <c r="K354" s="13">
        <v>665.63</v>
      </c>
      <c r="L354" s="13">
        <v>48.75</v>
      </c>
      <c r="M354" s="13"/>
      <c r="N354" s="13">
        <v>0</v>
      </c>
      <c r="O354" s="13"/>
      <c r="P354" s="13">
        <v>0</v>
      </c>
      <c r="Q354" s="13">
        <f>SUM(R354-P354)</f>
        <v>1500</v>
      </c>
      <c r="R354" s="24">
        <v>1500</v>
      </c>
      <c r="S354" s="13">
        <f>SUM(T354-R354)</f>
        <v>0</v>
      </c>
      <c r="T354" s="22">
        <v>1500</v>
      </c>
    </row>
    <row r="355" spans="1:20">
      <c r="A355" s="34" t="s">
        <v>329</v>
      </c>
      <c r="B355" s="17"/>
      <c r="C355" s="17"/>
      <c r="D355" s="17"/>
      <c r="E355" s="18"/>
      <c r="F355" s="19"/>
      <c r="G355" s="20"/>
      <c r="H355" s="13"/>
      <c r="I355" s="13"/>
      <c r="J355" s="13"/>
      <c r="K355" s="13"/>
      <c r="L355" s="13">
        <v>93.94</v>
      </c>
      <c r="M355" s="13"/>
      <c r="N355" s="13">
        <v>0</v>
      </c>
      <c r="O355" s="13"/>
      <c r="P355" s="13">
        <v>0</v>
      </c>
      <c r="Q355" s="13">
        <f>SUM(R355-P355)</f>
        <v>0</v>
      </c>
      <c r="R355" s="24">
        <v>0</v>
      </c>
      <c r="S355" s="13">
        <f>SUM(T355-R355)</f>
        <v>0</v>
      </c>
      <c r="T355" s="22">
        <v>0</v>
      </c>
    </row>
    <row r="356" spans="1:20">
      <c r="A356" s="34" t="s">
        <v>330</v>
      </c>
      <c r="B356" s="17"/>
      <c r="C356" s="17"/>
      <c r="D356" s="17"/>
      <c r="E356" s="18"/>
      <c r="F356" s="19"/>
      <c r="G356" s="20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24">
        <v>1500</v>
      </c>
      <c r="S356" s="13"/>
      <c r="T356" s="22">
        <v>1500</v>
      </c>
    </row>
    <row r="357" spans="1:20">
      <c r="A357" s="34" t="s">
        <v>331</v>
      </c>
      <c r="B357" s="17"/>
      <c r="C357" s="17"/>
      <c r="D357" s="17"/>
      <c r="E357" s="18"/>
      <c r="F357" s="19"/>
      <c r="G357" s="20"/>
      <c r="H357" s="13"/>
      <c r="I357" s="13"/>
      <c r="J357" s="13"/>
      <c r="K357" s="13"/>
      <c r="L357" s="13"/>
      <c r="M357" s="13"/>
      <c r="N357" s="13"/>
      <c r="O357" s="13">
        <v>37619.93</v>
      </c>
      <c r="P357" s="13"/>
      <c r="Q357" s="13"/>
      <c r="R357" s="24"/>
      <c r="S357" s="13"/>
      <c r="T357" s="22"/>
    </row>
    <row r="358" spans="1:20">
      <c r="A358" s="179" t="s">
        <v>332</v>
      </c>
      <c r="B358" s="18"/>
      <c r="C358" s="18"/>
      <c r="D358" s="18"/>
      <c r="E358" s="18"/>
      <c r="F358" s="23"/>
      <c r="G358" s="20"/>
      <c r="H358" s="13"/>
      <c r="I358" s="13"/>
      <c r="J358" s="13"/>
      <c r="K358" s="13"/>
      <c r="L358" s="13"/>
      <c r="M358" s="13"/>
      <c r="N358" s="13"/>
      <c r="O358" s="13"/>
      <c r="P358" s="13"/>
      <c r="Q358" s="13">
        <f>SUM(R358-P358)</f>
        <v>0</v>
      </c>
      <c r="R358" s="24"/>
      <c r="S358" s="13">
        <f t="shared" ref="S358:S363" si="108">SUM(T358-R358)</f>
        <v>0</v>
      </c>
      <c r="T358" s="22"/>
    </row>
    <row r="359" spans="1:20">
      <c r="A359" s="16" t="s">
        <v>333</v>
      </c>
      <c r="B359" s="18">
        <v>0</v>
      </c>
      <c r="C359" s="18"/>
      <c r="D359" s="18">
        <v>128</v>
      </c>
      <c r="E359" s="18">
        <v>1500</v>
      </c>
      <c r="F359" s="23">
        <v>85877</v>
      </c>
      <c r="G359" s="20">
        <f>SUM(H359-E359)</f>
        <v>0</v>
      </c>
      <c r="H359" s="13">
        <v>1500</v>
      </c>
      <c r="I359" s="13"/>
      <c r="J359" s="13">
        <v>2000</v>
      </c>
      <c r="K359" s="13">
        <v>816</v>
      </c>
      <c r="L359" s="13"/>
      <c r="M359" s="13">
        <v>1000</v>
      </c>
      <c r="N359" s="13">
        <v>1000</v>
      </c>
      <c r="O359" s="13"/>
      <c r="P359" s="13">
        <v>1000</v>
      </c>
      <c r="Q359" s="13">
        <f>SUM(R359-P359)</f>
        <v>-1000</v>
      </c>
      <c r="R359" s="24">
        <v>0</v>
      </c>
      <c r="S359" s="13">
        <f t="shared" si="108"/>
        <v>0</v>
      </c>
      <c r="T359" s="22">
        <v>0</v>
      </c>
    </row>
    <row r="360" spans="1:20">
      <c r="A360" s="34" t="s">
        <v>334</v>
      </c>
      <c r="B360" s="18">
        <v>3637.9</v>
      </c>
      <c r="C360" s="18">
        <v>3031.01</v>
      </c>
      <c r="D360" s="18">
        <v>3597.74</v>
      </c>
      <c r="E360" s="18">
        <v>4000</v>
      </c>
      <c r="F360" s="23">
        <v>1059</v>
      </c>
      <c r="G360" s="20">
        <f>SUM(H360-E360)</f>
        <v>-2000</v>
      </c>
      <c r="H360" s="13">
        <v>2000</v>
      </c>
      <c r="I360" s="13">
        <v>816</v>
      </c>
      <c r="J360" s="13">
        <v>1000</v>
      </c>
      <c r="K360" s="13"/>
      <c r="L360" s="13">
        <v>476</v>
      </c>
      <c r="M360" s="13">
        <v>500</v>
      </c>
      <c r="N360" s="13">
        <v>0</v>
      </c>
      <c r="O360" s="13"/>
      <c r="P360" s="13">
        <v>0</v>
      </c>
      <c r="Q360" s="13">
        <f>SUM(R360-P360)</f>
        <v>0</v>
      </c>
      <c r="R360" s="24">
        <v>0</v>
      </c>
      <c r="S360" s="13">
        <f t="shared" si="108"/>
        <v>0</v>
      </c>
      <c r="T360" s="126">
        <v>0</v>
      </c>
    </row>
    <row r="361" spans="1:20">
      <c r="A361" s="16" t="s">
        <v>335</v>
      </c>
      <c r="B361" s="18">
        <v>3183.6</v>
      </c>
      <c r="C361" s="18">
        <v>8019.98</v>
      </c>
      <c r="D361" s="18">
        <v>9094.89</v>
      </c>
      <c r="E361" s="18">
        <v>8000</v>
      </c>
      <c r="F361" s="23">
        <v>11105</v>
      </c>
      <c r="G361" s="20">
        <f>SUM(H361-E361)</f>
        <v>0</v>
      </c>
      <c r="H361" s="13">
        <v>8000</v>
      </c>
      <c r="I361" s="13">
        <v>5935.25</v>
      </c>
      <c r="J361" s="13">
        <v>4000</v>
      </c>
      <c r="K361" s="13">
        <v>5935.25</v>
      </c>
      <c r="L361" s="13">
        <f>75+3188.53+1533</f>
        <v>4796.5300000000007</v>
      </c>
      <c r="M361" s="13">
        <v>3000</v>
      </c>
      <c r="N361" s="13">
        <v>5000</v>
      </c>
      <c r="O361" s="13"/>
      <c r="P361" s="13">
        <v>18000</v>
      </c>
      <c r="Q361" s="13">
        <f>SUM(R356-P361)</f>
        <v>-16500</v>
      </c>
      <c r="R361" s="129">
        <v>0</v>
      </c>
      <c r="S361" s="124">
        <f t="shared" si="108"/>
        <v>0</v>
      </c>
      <c r="T361" s="151">
        <v>0</v>
      </c>
    </row>
    <row r="362" spans="1:20">
      <c r="A362" s="16" t="s">
        <v>336</v>
      </c>
      <c r="B362" s="18">
        <v>4504.1499999999996</v>
      </c>
      <c r="C362" s="18">
        <v>4953.3999999999996</v>
      </c>
      <c r="D362" s="18">
        <v>5188.88</v>
      </c>
      <c r="E362" s="18">
        <v>5200</v>
      </c>
      <c r="F362" s="23">
        <v>5507</v>
      </c>
      <c r="G362" s="20">
        <f>SUM(H362-E362)</f>
        <v>0</v>
      </c>
      <c r="H362" s="13">
        <v>5200</v>
      </c>
      <c r="I362" s="13">
        <v>1834.94</v>
      </c>
      <c r="J362" s="13">
        <v>2500</v>
      </c>
      <c r="K362" s="13">
        <v>4536.45</v>
      </c>
      <c r="L362" s="13">
        <v>922.87</v>
      </c>
      <c r="M362" s="13">
        <v>1500</v>
      </c>
      <c r="N362" s="13">
        <v>0</v>
      </c>
      <c r="O362" s="13">
        <v>985.21</v>
      </c>
      <c r="P362" s="13">
        <v>0</v>
      </c>
      <c r="Q362" s="13">
        <f>SUM(R362-P362)</f>
        <v>0</v>
      </c>
      <c r="R362" s="24">
        <v>0</v>
      </c>
      <c r="S362" s="13">
        <f t="shared" si="108"/>
        <v>0</v>
      </c>
      <c r="T362" s="21">
        <v>0</v>
      </c>
    </row>
    <row r="363" spans="1:20">
      <c r="A363" s="16" t="s">
        <v>337</v>
      </c>
      <c r="B363" s="18">
        <v>5812.44</v>
      </c>
      <c r="C363" s="18">
        <v>6621.49</v>
      </c>
      <c r="D363" s="18">
        <v>6043.33</v>
      </c>
      <c r="E363" s="18">
        <v>6500</v>
      </c>
      <c r="F363" s="23">
        <v>1370</v>
      </c>
      <c r="G363" s="20">
        <f>SUM(H363-E363)</f>
        <v>-3000</v>
      </c>
      <c r="H363" s="13">
        <v>3500</v>
      </c>
      <c r="I363" s="13"/>
      <c r="J363" s="13">
        <v>1500</v>
      </c>
      <c r="K363" s="13"/>
      <c r="L363" s="13">
        <v>63.33</v>
      </c>
      <c r="M363" s="13">
        <v>1500</v>
      </c>
      <c r="N363" s="13">
        <v>1000</v>
      </c>
      <c r="O363" s="13"/>
      <c r="P363" s="13">
        <v>1000</v>
      </c>
      <c r="Q363" s="13">
        <f>SUM(R363-P363)</f>
        <v>-1000</v>
      </c>
      <c r="R363" s="24">
        <v>0</v>
      </c>
      <c r="S363" s="13">
        <f t="shared" si="108"/>
        <v>0</v>
      </c>
      <c r="T363" s="22">
        <v>0</v>
      </c>
    </row>
    <row r="364" spans="1:20">
      <c r="A364" s="10" t="s">
        <v>279</v>
      </c>
      <c r="B364" s="2">
        <f t="shared" ref="B364:H364" si="109">SUM(B358:B363)</f>
        <v>17138.09</v>
      </c>
      <c r="C364" s="2">
        <f t="shared" si="109"/>
        <v>22625.879999999997</v>
      </c>
      <c r="D364" s="2">
        <f t="shared" si="109"/>
        <v>24052.839999999997</v>
      </c>
      <c r="E364" s="2">
        <f t="shared" si="109"/>
        <v>25200</v>
      </c>
      <c r="F364" s="99">
        <f t="shared" si="109"/>
        <v>104918</v>
      </c>
      <c r="G364" s="99">
        <f t="shared" si="109"/>
        <v>-5000</v>
      </c>
      <c r="H364" s="99">
        <f t="shared" si="109"/>
        <v>20200</v>
      </c>
      <c r="I364" s="99"/>
      <c r="J364" s="99">
        <f>SUM(J358:J363)</f>
        <v>11000</v>
      </c>
      <c r="K364" s="99">
        <f t="shared" ref="K364:T364" si="110">SUM(K354:K363)</f>
        <v>11953.33</v>
      </c>
      <c r="L364" s="99">
        <f t="shared" si="110"/>
        <v>6401.420000000001</v>
      </c>
      <c r="M364" s="99">
        <f t="shared" si="110"/>
        <v>7500</v>
      </c>
      <c r="N364" s="99">
        <f t="shared" si="110"/>
        <v>7000</v>
      </c>
      <c r="O364" s="99">
        <f t="shared" si="110"/>
        <v>38605.14</v>
      </c>
      <c r="P364" s="99">
        <f t="shared" si="110"/>
        <v>20000</v>
      </c>
      <c r="Q364" s="99">
        <f t="shared" si="110"/>
        <v>-17000</v>
      </c>
      <c r="R364" s="103">
        <f t="shared" si="110"/>
        <v>3000</v>
      </c>
      <c r="S364" s="13">
        <f t="shared" si="110"/>
        <v>0</v>
      </c>
      <c r="T364" s="100">
        <f t="shared" si="110"/>
        <v>3000</v>
      </c>
    </row>
    <row r="365" spans="1:20">
      <c r="A365" s="16"/>
      <c r="B365" s="17"/>
      <c r="C365" s="17"/>
      <c r="D365" s="17"/>
      <c r="E365" s="18"/>
      <c r="F365" s="19"/>
      <c r="G365" s="20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24"/>
      <c r="S365" s="13"/>
      <c r="T365" s="22"/>
    </row>
    <row r="366" spans="1:20">
      <c r="A366" s="16" t="s">
        <v>338</v>
      </c>
      <c r="B366" s="2">
        <v>6635.88</v>
      </c>
      <c r="C366" s="2">
        <v>4000</v>
      </c>
      <c r="D366" s="2">
        <v>9968.74</v>
      </c>
      <c r="E366" s="2">
        <v>640110</v>
      </c>
      <c r="F366" s="97">
        <v>97278</v>
      </c>
      <c r="G366" s="130">
        <f>SUM(H366-E366)</f>
        <v>676232</v>
      </c>
      <c r="H366" s="131">
        <v>1316342</v>
      </c>
      <c r="I366" s="103">
        <v>2914</v>
      </c>
      <c r="J366" s="103">
        <v>1167270</v>
      </c>
      <c r="K366" s="13">
        <v>2914</v>
      </c>
      <c r="L366" s="13">
        <v>194536.18</v>
      </c>
      <c r="M366" s="13">
        <v>895369</v>
      </c>
      <c r="N366" s="13">
        <v>726436</v>
      </c>
      <c r="O366" s="13">
        <v>632.44000000000005</v>
      </c>
      <c r="P366" s="13">
        <v>758574</v>
      </c>
      <c r="Q366" s="13">
        <f>SUM(R366-P366)</f>
        <v>-39723.359999999986</v>
      </c>
      <c r="R366" s="24">
        <v>718850.64</v>
      </c>
      <c r="S366" s="13">
        <f>SUM(T366-R366)</f>
        <v>-169383.64</v>
      </c>
      <c r="T366" s="22">
        <v>549467</v>
      </c>
    </row>
    <row r="367" spans="1:20">
      <c r="A367" s="16"/>
      <c r="B367" s="50"/>
      <c r="C367" s="50"/>
      <c r="D367" s="50"/>
      <c r="E367" s="18"/>
      <c r="F367" s="115"/>
      <c r="G367" s="20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24"/>
      <c r="S367" s="13"/>
      <c r="T367" s="22"/>
    </row>
    <row r="368" spans="1:20">
      <c r="A368" s="16" t="s">
        <v>339</v>
      </c>
      <c r="B368" s="18">
        <v>0</v>
      </c>
      <c r="C368" s="18"/>
      <c r="D368" s="18">
        <v>0</v>
      </c>
      <c r="E368" s="18">
        <v>283000</v>
      </c>
      <c r="F368" s="23"/>
      <c r="G368" s="20">
        <f>SUM(H368-E368)</f>
        <v>0</v>
      </c>
      <c r="H368" s="13">
        <v>283000</v>
      </c>
      <c r="I368" s="13"/>
      <c r="J368" s="13">
        <v>283000</v>
      </c>
      <c r="K368" s="13"/>
      <c r="L368" s="13">
        <v>3174.94</v>
      </c>
      <c r="M368" s="13">
        <v>283000</v>
      </c>
      <c r="N368" s="13">
        <v>283000</v>
      </c>
      <c r="O368" s="13">
        <v>0</v>
      </c>
      <c r="P368" s="13">
        <v>23000</v>
      </c>
      <c r="Q368" s="13">
        <f>SUM(R368-P368)</f>
        <v>0</v>
      </c>
      <c r="R368" s="24">
        <v>23000</v>
      </c>
      <c r="S368" s="13">
        <f>SUM(T368-R368)</f>
        <v>22000</v>
      </c>
      <c r="T368" s="22">
        <v>45000</v>
      </c>
    </row>
    <row r="369" spans="1:20">
      <c r="A369" s="10"/>
      <c r="B369" s="17"/>
      <c r="C369" s="17"/>
      <c r="D369" s="17"/>
      <c r="E369" s="2"/>
      <c r="F369" s="19"/>
      <c r="G369" s="121"/>
      <c r="H369" s="99"/>
      <c r="I369" s="99"/>
      <c r="J369" s="99"/>
      <c r="K369" s="99"/>
      <c r="L369" s="99"/>
      <c r="M369" s="99"/>
      <c r="N369" s="99"/>
      <c r="O369" s="99"/>
      <c r="P369" s="99"/>
      <c r="Q369" s="13"/>
      <c r="R369" s="103"/>
      <c r="S369" s="13"/>
      <c r="T369" s="100"/>
    </row>
    <row r="370" spans="1:20">
      <c r="A370" s="16" t="s">
        <v>340</v>
      </c>
      <c r="B370" s="2">
        <v>0</v>
      </c>
      <c r="C370" s="2"/>
      <c r="D370" s="2">
        <v>0</v>
      </c>
      <c r="E370" s="18">
        <v>15000</v>
      </c>
      <c r="F370" s="97"/>
      <c r="G370" s="20">
        <f>SUM(H370-E370)</f>
        <v>0</v>
      </c>
      <c r="H370" s="13">
        <v>15000</v>
      </c>
      <c r="I370" s="13"/>
      <c r="J370" s="13">
        <v>15000</v>
      </c>
      <c r="K370" s="13"/>
      <c r="L370" s="13">
        <v>0</v>
      </c>
      <c r="M370" s="13">
        <v>15000</v>
      </c>
      <c r="N370" s="13">
        <v>15000</v>
      </c>
      <c r="O370" s="13">
        <v>0</v>
      </c>
      <c r="P370" s="13">
        <v>15000</v>
      </c>
      <c r="Q370" s="13">
        <f>SUM(R370-P370)</f>
        <v>0</v>
      </c>
      <c r="R370" s="24">
        <v>15000</v>
      </c>
      <c r="S370" s="13">
        <f>SUM(T370-R370)</f>
        <v>0</v>
      </c>
      <c r="T370" s="22">
        <v>15000</v>
      </c>
    </row>
    <row r="371" spans="1:20">
      <c r="A371" s="16"/>
      <c r="B371" s="17"/>
      <c r="C371" s="17"/>
      <c r="D371" s="17"/>
      <c r="E371" s="18"/>
      <c r="F371" s="19"/>
      <c r="G371" s="20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24"/>
      <c r="S371" s="13"/>
      <c r="T371" s="22"/>
    </row>
    <row r="372" spans="1:20">
      <c r="A372" s="10" t="s">
        <v>341</v>
      </c>
      <c r="B372" s="17"/>
      <c r="C372" s="17"/>
      <c r="D372" s="17"/>
      <c r="E372" s="2"/>
      <c r="F372" s="19"/>
      <c r="G372" s="121"/>
      <c r="H372" s="99"/>
      <c r="I372" s="99"/>
      <c r="J372" s="99"/>
      <c r="K372" s="99">
        <f t="shared" ref="K372:O372" si="111">SUM(K351,K364,K366)</f>
        <v>14867.33</v>
      </c>
      <c r="L372" s="99">
        <f t="shared" si="111"/>
        <v>200937.60000000001</v>
      </c>
      <c r="M372" s="99">
        <f t="shared" si="111"/>
        <v>902869</v>
      </c>
      <c r="N372" s="99">
        <f t="shared" si="111"/>
        <v>733436</v>
      </c>
      <c r="O372" s="99">
        <f t="shared" si="111"/>
        <v>39237.58</v>
      </c>
      <c r="P372" s="99">
        <f>SUM(P351,P364,P366)</f>
        <v>778574</v>
      </c>
      <c r="Q372" s="13">
        <f>SUM(R372-P372)</f>
        <v>-22915</v>
      </c>
      <c r="R372" s="103">
        <f>SUM(R351,R364,R366)</f>
        <v>755659</v>
      </c>
      <c r="S372" s="13">
        <f>SUM(T372-R372)</f>
        <v>-203192</v>
      </c>
      <c r="T372" s="100">
        <f>SUM(T351,T364,T366)</f>
        <v>552467</v>
      </c>
    </row>
    <row r="373" spans="1:20">
      <c r="A373" s="16"/>
      <c r="B373" s="17"/>
      <c r="C373" s="17"/>
      <c r="D373" s="17"/>
      <c r="E373" s="18"/>
      <c r="F373" s="19"/>
      <c r="G373" s="20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24"/>
      <c r="S373" s="13"/>
      <c r="T373" s="22"/>
    </row>
    <row r="374" spans="1:20" ht="25.5">
      <c r="A374" s="10" t="s">
        <v>297</v>
      </c>
      <c r="B374" s="2">
        <f>SUM(B343-B364-B366-B368-B370)</f>
        <v>29745.660000000007</v>
      </c>
      <c r="C374" s="2">
        <f>SUM(C343-C364-C366-C368-C370)</f>
        <v>20392.690000000002</v>
      </c>
      <c r="D374" s="2">
        <f>SUM(D343-D364-D366-D368-D370)</f>
        <v>43049.85</v>
      </c>
      <c r="E374" s="2">
        <f>SUM(E343)-SUM(E364:E370)</f>
        <v>-629193</v>
      </c>
      <c r="F374" s="99">
        <f>SUM(F343)-SUM(F364:F370)</f>
        <v>-185689</v>
      </c>
      <c r="G374" s="121">
        <f>SUM(H374-E374)</f>
        <v>12168</v>
      </c>
      <c r="H374" s="99">
        <f>SUM(H343)-SUM(H364:H370)</f>
        <v>-617025</v>
      </c>
      <c r="I374" s="99"/>
      <c r="J374" s="99">
        <f t="shared" ref="J374:P374" si="112">SUM(J343)-SUM(J364:J370)</f>
        <v>-467770</v>
      </c>
      <c r="K374" s="99">
        <f t="shared" si="112"/>
        <v>3629.51</v>
      </c>
      <c r="L374" s="99">
        <f t="shared" si="112"/>
        <v>-177756.46000000002</v>
      </c>
      <c r="M374" s="99">
        <f t="shared" si="112"/>
        <v>-692369</v>
      </c>
      <c r="N374" s="99">
        <f t="shared" si="112"/>
        <v>-521436</v>
      </c>
      <c r="O374" s="99">
        <f t="shared" si="112"/>
        <v>99267.650000000009</v>
      </c>
      <c r="P374" s="99">
        <f t="shared" si="112"/>
        <v>-664802</v>
      </c>
      <c r="Q374" s="13">
        <f>SUM(R374-P374)</f>
        <v>-90857</v>
      </c>
      <c r="R374" s="103">
        <f>SUM(R343)-SUM(R351,R364,R366,R368,R370)</f>
        <v>-755659</v>
      </c>
      <c r="S374" s="13">
        <f>SUM(T374-R374)</f>
        <v>178192</v>
      </c>
      <c r="T374" s="100">
        <f>SUM(T343)-SUM(T351,T364,T366,T368,T370)</f>
        <v>-577467</v>
      </c>
    </row>
    <row r="375" spans="1:20">
      <c r="A375" s="16"/>
      <c r="B375" s="17"/>
      <c r="C375" s="17"/>
      <c r="D375" s="17"/>
      <c r="E375" s="18"/>
      <c r="F375" s="19"/>
      <c r="G375" s="121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24"/>
      <c r="S375" s="13"/>
      <c r="T375" s="22"/>
    </row>
    <row r="376" spans="1:20">
      <c r="A376" s="10" t="s">
        <v>299</v>
      </c>
      <c r="B376" s="2">
        <v>581730.56000000006</v>
      </c>
      <c r="C376" s="2">
        <v>634639</v>
      </c>
      <c r="D376" s="2">
        <v>636131</v>
      </c>
      <c r="E376" s="2">
        <v>630168</v>
      </c>
      <c r="F376" s="97"/>
      <c r="G376" s="121">
        <f>SUM(H376-E376)</f>
        <v>-12168</v>
      </c>
      <c r="H376" s="99">
        <v>618000</v>
      </c>
      <c r="I376" s="99"/>
      <c r="J376" s="99">
        <v>468270</v>
      </c>
      <c r="K376" s="99">
        <v>878558</v>
      </c>
      <c r="L376" s="99">
        <v>883825</v>
      </c>
      <c r="M376" s="99">
        <v>692869</v>
      </c>
      <c r="N376" s="99">
        <v>521436</v>
      </c>
      <c r="O376" s="99">
        <v>706068.54</v>
      </c>
      <c r="P376" s="99">
        <v>805336.19</v>
      </c>
      <c r="Q376" s="13">
        <f>SUM(R376-P376)</f>
        <v>-49677.189999999944</v>
      </c>
      <c r="R376" s="103">
        <v>755659</v>
      </c>
      <c r="S376" s="13">
        <f>SUM(T376-R376)</f>
        <v>-178192</v>
      </c>
      <c r="T376" s="100">
        <v>577467</v>
      </c>
    </row>
    <row r="377" spans="1:20">
      <c r="A377" s="169"/>
      <c r="B377" s="170"/>
      <c r="C377" s="170"/>
      <c r="D377" s="170"/>
      <c r="E377" s="141"/>
      <c r="F377" s="171"/>
      <c r="G377" s="177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78"/>
      <c r="S377" s="144"/>
      <c r="T377" s="126"/>
    </row>
    <row r="378" spans="1:20">
      <c r="A378" s="172" t="s">
        <v>300</v>
      </c>
      <c r="B378" s="173">
        <f t="shared" ref="B378:E378" si="113">SUM(B374+B376)</f>
        <v>611476.22000000009</v>
      </c>
      <c r="C378" s="173">
        <f t="shared" si="113"/>
        <v>655031.68999999994</v>
      </c>
      <c r="D378" s="173">
        <f t="shared" si="113"/>
        <v>679180.85</v>
      </c>
      <c r="E378" s="173">
        <f t="shared" si="113"/>
        <v>975</v>
      </c>
      <c r="F378" s="174">
        <f>SUM(F374+F376)</f>
        <v>-185689</v>
      </c>
      <c r="G378" s="149">
        <f>SUM(H378-E378)</f>
        <v>0</v>
      </c>
      <c r="H378" s="175">
        <f>SUM(H374+H376)</f>
        <v>975</v>
      </c>
      <c r="I378" s="175"/>
      <c r="J378" s="175">
        <f>SUM(J374+J376)</f>
        <v>500</v>
      </c>
      <c r="K378" s="175">
        <f t="shared" ref="K378:T378" si="114">SUM(K374+K376)</f>
        <v>882187.51</v>
      </c>
      <c r="L378" s="175">
        <f t="shared" si="114"/>
        <v>706068.54</v>
      </c>
      <c r="M378" s="175">
        <f t="shared" si="114"/>
        <v>500</v>
      </c>
      <c r="N378" s="175">
        <f>SUM(N374+N376)</f>
        <v>0</v>
      </c>
      <c r="O378" s="175">
        <f t="shared" ref="O378" si="115">SUM(O374+O376)</f>
        <v>805336.19000000006</v>
      </c>
      <c r="P378" s="175">
        <f>SUM(P374+P376)</f>
        <v>140534.18999999994</v>
      </c>
      <c r="Q378" s="175">
        <f t="shared" si="114"/>
        <v>-140534.18999999994</v>
      </c>
      <c r="R378" s="175">
        <f t="shared" si="114"/>
        <v>0</v>
      </c>
      <c r="S378" s="150">
        <f t="shared" si="114"/>
        <v>0</v>
      </c>
      <c r="T378" s="176">
        <f t="shared" si="114"/>
        <v>0</v>
      </c>
    </row>
    <row r="379" spans="1:20">
      <c r="A379" s="132"/>
      <c r="B379" s="133"/>
      <c r="C379" s="133"/>
      <c r="D379" s="133"/>
      <c r="E379" s="134"/>
      <c r="F379" s="135"/>
      <c r="G379" s="136"/>
      <c r="H379" s="137"/>
      <c r="I379" s="137"/>
      <c r="J379" s="137"/>
      <c r="K379" s="137"/>
      <c r="L379" s="137"/>
      <c r="M379" s="137"/>
      <c r="N379" s="137"/>
      <c r="O379" s="137"/>
      <c r="P379" s="137"/>
      <c r="Q379" s="137"/>
      <c r="R379" s="137"/>
      <c r="S379" s="137"/>
      <c r="T379" s="138"/>
    </row>
    <row r="380" spans="1:20">
      <c r="A380" s="168"/>
      <c r="B380" s="168"/>
      <c r="C380" s="168"/>
      <c r="D380" s="168"/>
      <c r="E380" s="168"/>
      <c r="F380" s="168"/>
      <c r="G380" s="168"/>
      <c r="H380" s="168"/>
      <c r="I380" s="168"/>
      <c r="J380" s="168"/>
      <c r="K380" s="168"/>
      <c r="L380" s="168"/>
      <c r="M380" s="168"/>
      <c r="N380" s="168"/>
      <c r="O380" s="168"/>
      <c r="P380" s="168"/>
      <c r="Q380" s="168"/>
      <c r="R380" s="168"/>
      <c r="S380" s="168"/>
      <c r="T380" s="168"/>
    </row>
  </sheetData>
  <protectedRanges>
    <protectedRange password="CC42" sqref="F312 B37:D37 F304 F318 B199:D199 B374:D374 B364:D364 B318:D318 B312:D312 B310:D310 B304:D304 B299:D299 B172:D172 B140:D140 B133:D133 B148:D148 B124:D124 B288:D288 B252:D252 B236:D236 B67:D67 B181:D182 E163:E168 E209:E210 F37 F67 F148 F133 F140 F172 F124 F197 F236 F364:H364 F288 F299 F374 F378 E252:E255 F199:G199 F314:F316 E287:E297 H299:H309 F310:H310 H41:H42 H49 M249:O251 P249:P252 N285:P285 P44 H54:H57 F343:G344 B343:D344 K78:M86 N78:P84 N86:P86 Q1:T1 R37:R40 I332:R332 K259:P266 K358:Q358 K363:R363 K359:R360 R362 K361:Q362 R351:R358 Q338:Q357 K353:P357 E46:E49 K63:P68 K338:P345 R2:R5 T37:T40 T332 T2:T5 K69:Q77 K225:P230 K236:P247 E213:E250 K231:Q235 Q78:Q88 Q110:Q182 P87:P88 P110:P161 P89:Q109 K87:O161 E192:E197 B191:Q191 H192:P197 H225:J247 H287:P297 F181:P182 F252:O252 B351:P352 B346:P346 H353:J363 I333:K333 H63:J161 I55:P57 H223:P223 H163:P170 H44:M44 H46:P47 H253:P255 H249:L250 H259:J285 E259:E285 N267:P283 K267:M285 H365:H378 H172:P179 E172:E179 H199:P221 Q192:Q230 E199:E207 E181:E190 H183:Q190 H58:P62 T362:T378 I364:R378 E353:E378 T351:T360 S335:S378 H334:J345 T334:T346 R334:R346 K335:Q337 H1:P40 E1:E44 H51:P53 Q3:Q68 E51:E161 S3:S332 E299:E345 Q236:Q331 I299:P331 H311:H333" name="Range1"/>
    <protectedRange password="CC42" sqref="E208" name="Range1_1"/>
    <protectedRange password="CC42" sqref="E211:E212" name="Range1_2"/>
    <protectedRange password="CC42" sqref="E347:E350 P347:P350 E45 P45 H45:M45 H347:M350" name="Range1_3"/>
    <protectedRange password="CC42" sqref="R35:R36 T35:T36 T6:T24 R6:R24 T25:T34 R25:R34" name="Range1_4"/>
    <protectedRange password="CC42" sqref="R46:R47 R51:R52 R163:R170 R223 T172:T179 R249:R255 R55 R287:R297 R324:R331 T58:T66 R285 T46:T47 T51:T52 T163:T170 T223 T249:T255 T55 T287:T297 R58:R66 T285 T67:T84 R67:R84 R225:R247 T225:T247 T86:T161 R86:R161 T324:T331 T259:T283 R259:R283 R172:R179 T199:T221 R199:R221 T181:T197 R181:R197 T299:T323 R299:R323" name="Range1_6"/>
    <protectedRange password="CC42" sqref="Q334 K334:O334 S334" name="Range1_7"/>
    <protectedRange password="CC42" sqref="L333:T333" name="Range1_8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Peterson</dc:creator>
  <cp:keywords/>
  <dc:description/>
  <cp:lastModifiedBy>Kristin Peterson</cp:lastModifiedBy>
  <cp:revision/>
  <dcterms:created xsi:type="dcterms:W3CDTF">2026-05-06T18:43:13Z</dcterms:created>
  <dcterms:modified xsi:type="dcterms:W3CDTF">2026-05-06T18:56:07Z</dcterms:modified>
  <cp:category/>
  <cp:contentStatus/>
</cp:coreProperties>
</file>